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7680"/>
  </bookViews>
  <sheets>
    <sheet name="예산세부내역" sheetId="1" r:id="rId1"/>
    <sheet name="KOTRA 기준단가" sheetId="7" r:id="rId2"/>
    <sheet name="국외여비기준" sheetId="6" r:id="rId3"/>
  </sheets>
  <definedNames>
    <definedName name="djqtmda">#REF!</definedName>
    <definedName name="_xlnm.Print_Area" localSheetId="0">예산세부내역!$A$1:$J$70</definedName>
  </definedNames>
  <calcPr calcId="145621"/>
</workbook>
</file>

<file path=xl/calcChain.xml><?xml version="1.0" encoding="utf-8"?>
<calcChain xmlns="http://schemas.openxmlformats.org/spreadsheetml/2006/main">
  <c r="J3" i="6" l="1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2" i="6"/>
  <c r="D43" i="1"/>
  <c r="D37" i="1"/>
  <c r="F37" i="1" s="1"/>
  <c r="F36" i="1"/>
  <c r="G52" i="1" l="1"/>
  <c r="K52" i="1" s="1"/>
  <c r="I52" i="1" l="1"/>
  <c r="J52" i="1" s="1"/>
  <c r="C15" i="1"/>
  <c r="F43" i="1" l="1"/>
  <c r="I130" i="6" l="1"/>
  <c r="H130" i="6"/>
  <c r="L130" i="6" s="1"/>
  <c r="G130" i="6"/>
  <c r="I129" i="6"/>
  <c r="H129" i="6"/>
  <c r="L129" i="6" s="1"/>
  <c r="G129" i="6"/>
  <c r="I128" i="6"/>
  <c r="H128" i="6"/>
  <c r="L128" i="6" s="1"/>
  <c r="G128" i="6"/>
  <c r="I127" i="6"/>
  <c r="H127" i="6"/>
  <c r="G127" i="6"/>
  <c r="I126" i="6"/>
  <c r="H126" i="6"/>
  <c r="L126" i="6" s="1"/>
  <c r="G126" i="6"/>
  <c r="I125" i="6"/>
  <c r="H125" i="6"/>
  <c r="L125" i="6" s="1"/>
  <c r="G125" i="6"/>
  <c r="I124" i="6"/>
  <c r="H124" i="6"/>
  <c r="L124" i="6" s="1"/>
  <c r="G124" i="6"/>
  <c r="I123" i="6"/>
  <c r="H123" i="6"/>
  <c r="G123" i="6"/>
  <c r="I122" i="6"/>
  <c r="H122" i="6"/>
  <c r="L122" i="6" s="1"/>
  <c r="G122" i="6"/>
  <c r="I121" i="6"/>
  <c r="H121" i="6"/>
  <c r="L121" i="6" s="1"/>
  <c r="G121" i="6"/>
  <c r="I120" i="6"/>
  <c r="H120" i="6"/>
  <c r="L120" i="6" s="1"/>
  <c r="G120" i="6"/>
  <c r="I119" i="6"/>
  <c r="H119" i="6"/>
  <c r="G119" i="6"/>
  <c r="I118" i="6"/>
  <c r="H118" i="6"/>
  <c r="L118" i="6" s="1"/>
  <c r="G118" i="6"/>
  <c r="I117" i="6"/>
  <c r="H117" i="6"/>
  <c r="L117" i="6" s="1"/>
  <c r="G117" i="6"/>
  <c r="I116" i="6"/>
  <c r="H116" i="6"/>
  <c r="L116" i="6" s="1"/>
  <c r="G116" i="6"/>
  <c r="K116" i="6" s="1"/>
  <c r="I115" i="6"/>
  <c r="H115" i="6"/>
  <c r="G115" i="6"/>
  <c r="L114" i="6"/>
  <c r="I114" i="6"/>
  <c r="K114" i="6" s="1"/>
  <c r="H114" i="6"/>
  <c r="G114" i="6"/>
  <c r="L113" i="6"/>
  <c r="I113" i="6"/>
  <c r="H113" i="6"/>
  <c r="G113" i="6"/>
  <c r="I112" i="6"/>
  <c r="H112" i="6"/>
  <c r="L112" i="6" s="1"/>
  <c r="G112" i="6"/>
  <c r="I111" i="6"/>
  <c r="H111" i="6"/>
  <c r="G111" i="6"/>
  <c r="I110" i="6"/>
  <c r="H110" i="6"/>
  <c r="L110" i="6" s="1"/>
  <c r="G110" i="6"/>
  <c r="I109" i="6"/>
  <c r="H109" i="6"/>
  <c r="L109" i="6" s="1"/>
  <c r="G109" i="6"/>
  <c r="I108" i="6"/>
  <c r="H108" i="6"/>
  <c r="L108" i="6" s="1"/>
  <c r="G108" i="6"/>
  <c r="I107" i="6"/>
  <c r="H107" i="6"/>
  <c r="G107" i="6"/>
  <c r="I106" i="6"/>
  <c r="H106" i="6"/>
  <c r="L106" i="6" s="1"/>
  <c r="G106" i="6"/>
  <c r="I105" i="6"/>
  <c r="H105" i="6"/>
  <c r="L105" i="6" s="1"/>
  <c r="G105" i="6"/>
  <c r="I104" i="6"/>
  <c r="H104" i="6"/>
  <c r="L104" i="6" s="1"/>
  <c r="G104" i="6"/>
  <c r="I103" i="6"/>
  <c r="H103" i="6"/>
  <c r="G103" i="6"/>
  <c r="I102" i="6"/>
  <c r="H102" i="6"/>
  <c r="L102" i="6" s="1"/>
  <c r="G102" i="6"/>
  <c r="I101" i="6"/>
  <c r="H101" i="6"/>
  <c r="L101" i="6" s="1"/>
  <c r="G101" i="6"/>
  <c r="K101" i="6" s="1"/>
  <c r="I100" i="6"/>
  <c r="H100" i="6"/>
  <c r="L100" i="6" s="1"/>
  <c r="G100" i="6"/>
  <c r="K100" i="6" s="1"/>
  <c r="I99" i="6"/>
  <c r="H99" i="6"/>
  <c r="G99" i="6"/>
  <c r="L98" i="6"/>
  <c r="I98" i="6"/>
  <c r="K98" i="6" s="1"/>
  <c r="H98" i="6"/>
  <c r="G98" i="6"/>
  <c r="L97" i="6"/>
  <c r="I97" i="6"/>
  <c r="H97" i="6"/>
  <c r="G97" i="6"/>
  <c r="I96" i="6"/>
  <c r="H96" i="6"/>
  <c r="L96" i="6" s="1"/>
  <c r="G96" i="6"/>
  <c r="I95" i="6"/>
  <c r="H95" i="6"/>
  <c r="G95" i="6"/>
  <c r="I94" i="6"/>
  <c r="H94" i="6"/>
  <c r="L94" i="6" s="1"/>
  <c r="G94" i="6"/>
  <c r="I93" i="6"/>
  <c r="H93" i="6"/>
  <c r="L93" i="6" s="1"/>
  <c r="G93" i="6"/>
  <c r="I92" i="6"/>
  <c r="H92" i="6"/>
  <c r="L92" i="6" s="1"/>
  <c r="G92" i="6"/>
  <c r="I91" i="6"/>
  <c r="H91" i="6"/>
  <c r="G91" i="6"/>
  <c r="I90" i="6"/>
  <c r="H90" i="6"/>
  <c r="L90" i="6" s="1"/>
  <c r="G90" i="6"/>
  <c r="I89" i="6"/>
  <c r="H89" i="6"/>
  <c r="L89" i="6" s="1"/>
  <c r="G89" i="6"/>
  <c r="I88" i="6"/>
  <c r="H88" i="6"/>
  <c r="L88" i="6" s="1"/>
  <c r="G88" i="6"/>
  <c r="I87" i="6"/>
  <c r="H87" i="6"/>
  <c r="G87" i="6"/>
  <c r="I86" i="6"/>
  <c r="H86" i="6"/>
  <c r="L86" i="6" s="1"/>
  <c r="G86" i="6"/>
  <c r="I85" i="6"/>
  <c r="H85" i="6"/>
  <c r="L85" i="6" s="1"/>
  <c r="G85" i="6"/>
  <c r="K85" i="6" s="1"/>
  <c r="I84" i="6"/>
  <c r="H84" i="6"/>
  <c r="L84" i="6" s="1"/>
  <c r="G84" i="6"/>
  <c r="I83" i="6"/>
  <c r="H83" i="6"/>
  <c r="G83" i="6"/>
  <c r="L82" i="6"/>
  <c r="I82" i="6"/>
  <c r="K82" i="6" s="1"/>
  <c r="H82" i="6"/>
  <c r="G82" i="6"/>
  <c r="L81" i="6"/>
  <c r="I81" i="6"/>
  <c r="H81" i="6"/>
  <c r="G81" i="6"/>
  <c r="I80" i="6"/>
  <c r="H80" i="6"/>
  <c r="L80" i="6" s="1"/>
  <c r="G80" i="6"/>
  <c r="I79" i="6"/>
  <c r="H79" i="6"/>
  <c r="G79" i="6"/>
  <c r="I78" i="6"/>
  <c r="H78" i="6"/>
  <c r="L78" i="6" s="1"/>
  <c r="G78" i="6"/>
  <c r="I77" i="6"/>
  <c r="H77" i="6"/>
  <c r="L77" i="6" s="1"/>
  <c r="G77" i="6"/>
  <c r="I76" i="6"/>
  <c r="H76" i="6"/>
  <c r="L76" i="6" s="1"/>
  <c r="G76" i="6"/>
  <c r="I75" i="6"/>
  <c r="H75" i="6"/>
  <c r="G75" i="6"/>
  <c r="I74" i="6"/>
  <c r="H74" i="6"/>
  <c r="L74" i="6" s="1"/>
  <c r="G74" i="6"/>
  <c r="K74" i="6" s="1"/>
  <c r="I73" i="6"/>
  <c r="H73" i="6"/>
  <c r="L73" i="6" s="1"/>
  <c r="G73" i="6"/>
  <c r="I72" i="6"/>
  <c r="H72" i="6"/>
  <c r="L72" i="6" s="1"/>
  <c r="G72" i="6"/>
  <c r="I71" i="6"/>
  <c r="H71" i="6"/>
  <c r="G71" i="6"/>
  <c r="L70" i="6"/>
  <c r="I70" i="6"/>
  <c r="H70" i="6"/>
  <c r="G70" i="6"/>
  <c r="L69" i="6"/>
  <c r="I69" i="6"/>
  <c r="H69" i="6"/>
  <c r="G69" i="6"/>
  <c r="I68" i="6"/>
  <c r="H68" i="6"/>
  <c r="L68" i="6" s="1"/>
  <c r="G68" i="6"/>
  <c r="I67" i="6"/>
  <c r="H67" i="6"/>
  <c r="G67" i="6"/>
  <c r="I66" i="6"/>
  <c r="H66" i="6"/>
  <c r="L66" i="6" s="1"/>
  <c r="G66" i="6"/>
  <c r="I65" i="6"/>
  <c r="H65" i="6"/>
  <c r="L65" i="6" s="1"/>
  <c r="G65" i="6"/>
  <c r="I64" i="6"/>
  <c r="H64" i="6"/>
  <c r="L64" i="6" s="1"/>
  <c r="G64" i="6"/>
  <c r="I63" i="6"/>
  <c r="H63" i="6"/>
  <c r="G63" i="6"/>
  <c r="I62" i="6"/>
  <c r="H62" i="6"/>
  <c r="L62" i="6" s="1"/>
  <c r="G62" i="6"/>
  <c r="K62" i="6" s="1"/>
  <c r="I61" i="6"/>
  <c r="H61" i="6"/>
  <c r="L61" i="6" s="1"/>
  <c r="G61" i="6"/>
  <c r="K61" i="6" s="1"/>
  <c r="I60" i="6"/>
  <c r="H60" i="6"/>
  <c r="L60" i="6" s="1"/>
  <c r="G60" i="6"/>
  <c r="I59" i="6"/>
  <c r="H59" i="6"/>
  <c r="G59" i="6"/>
  <c r="I58" i="6"/>
  <c r="H58" i="6"/>
  <c r="L58" i="6" s="1"/>
  <c r="G58" i="6"/>
  <c r="K58" i="6" s="1"/>
  <c r="I57" i="6"/>
  <c r="H57" i="6"/>
  <c r="L57" i="6" s="1"/>
  <c r="G57" i="6"/>
  <c r="I56" i="6"/>
  <c r="H56" i="6"/>
  <c r="L56" i="6" s="1"/>
  <c r="G56" i="6"/>
  <c r="I55" i="6"/>
  <c r="H55" i="6"/>
  <c r="G55" i="6"/>
  <c r="L54" i="6"/>
  <c r="I54" i="6"/>
  <c r="H54" i="6"/>
  <c r="G54" i="6"/>
  <c r="K54" i="6" s="1"/>
  <c r="L53" i="6"/>
  <c r="I53" i="6"/>
  <c r="H53" i="6"/>
  <c r="G53" i="6"/>
  <c r="I52" i="6"/>
  <c r="H52" i="6"/>
  <c r="L52" i="6" s="1"/>
  <c r="G52" i="6"/>
  <c r="I51" i="6"/>
  <c r="H51" i="6"/>
  <c r="G51" i="6"/>
  <c r="I50" i="6"/>
  <c r="H50" i="6"/>
  <c r="L50" i="6" s="1"/>
  <c r="G50" i="6"/>
  <c r="I49" i="6"/>
  <c r="H49" i="6"/>
  <c r="L49" i="6" s="1"/>
  <c r="G49" i="6"/>
  <c r="I48" i="6"/>
  <c r="H48" i="6"/>
  <c r="L48" i="6" s="1"/>
  <c r="G48" i="6"/>
  <c r="I47" i="6"/>
  <c r="H47" i="6"/>
  <c r="K47" i="6" s="1"/>
  <c r="G47" i="6"/>
  <c r="I46" i="6"/>
  <c r="H46" i="6"/>
  <c r="L46" i="6" s="1"/>
  <c r="G46" i="6"/>
  <c r="I45" i="6"/>
  <c r="H45" i="6"/>
  <c r="L45" i="6" s="1"/>
  <c r="G45" i="6"/>
  <c r="K45" i="6" s="1"/>
  <c r="I44" i="6"/>
  <c r="H44" i="6"/>
  <c r="L44" i="6" s="1"/>
  <c r="G44" i="6"/>
  <c r="I43" i="6"/>
  <c r="H43" i="6"/>
  <c r="G43" i="6"/>
  <c r="I42" i="6"/>
  <c r="K42" i="6" s="1"/>
  <c r="H42" i="6"/>
  <c r="L42" i="6" s="1"/>
  <c r="G42" i="6"/>
  <c r="L41" i="6"/>
  <c r="I41" i="6"/>
  <c r="H41" i="6"/>
  <c r="G41" i="6"/>
  <c r="I40" i="6"/>
  <c r="H40" i="6"/>
  <c r="L40" i="6" s="1"/>
  <c r="G40" i="6"/>
  <c r="I39" i="6"/>
  <c r="H39" i="6"/>
  <c r="G39" i="6"/>
  <c r="I38" i="6"/>
  <c r="H38" i="6"/>
  <c r="L38" i="6" s="1"/>
  <c r="G38" i="6"/>
  <c r="K38" i="6" s="1"/>
  <c r="I37" i="6"/>
  <c r="H37" i="6"/>
  <c r="L37" i="6" s="1"/>
  <c r="G37" i="6"/>
  <c r="I36" i="6"/>
  <c r="H36" i="6"/>
  <c r="L36" i="6" s="1"/>
  <c r="G36" i="6"/>
  <c r="I35" i="6"/>
  <c r="H35" i="6"/>
  <c r="G35" i="6"/>
  <c r="I34" i="6"/>
  <c r="H34" i="6"/>
  <c r="L34" i="6" s="1"/>
  <c r="G34" i="6"/>
  <c r="I33" i="6"/>
  <c r="H33" i="6"/>
  <c r="L33" i="6" s="1"/>
  <c r="G33" i="6"/>
  <c r="I32" i="6"/>
  <c r="H32" i="6"/>
  <c r="L32" i="6" s="1"/>
  <c r="G32" i="6"/>
  <c r="K32" i="6" s="1"/>
  <c r="I31" i="6"/>
  <c r="H31" i="6"/>
  <c r="G31" i="6"/>
  <c r="L30" i="6"/>
  <c r="I30" i="6"/>
  <c r="H30" i="6"/>
  <c r="G30" i="6"/>
  <c r="I29" i="6"/>
  <c r="H29" i="6"/>
  <c r="L29" i="6" s="1"/>
  <c r="G29" i="6"/>
  <c r="I28" i="6"/>
  <c r="H28" i="6"/>
  <c r="L28" i="6" s="1"/>
  <c r="G28" i="6"/>
  <c r="I27" i="6"/>
  <c r="H27" i="6"/>
  <c r="G27" i="6"/>
  <c r="K26" i="6"/>
  <c r="I26" i="6"/>
  <c r="H26" i="6"/>
  <c r="L26" i="6" s="1"/>
  <c r="G26" i="6"/>
  <c r="L25" i="6"/>
  <c r="I25" i="6"/>
  <c r="H25" i="6"/>
  <c r="G25" i="6"/>
  <c r="I24" i="6"/>
  <c r="H24" i="6"/>
  <c r="L24" i="6" s="1"/>
  <c r="G24" i="6"/>
  <c r="I23" i="6"/>
  <c r="H23" i="6"/>
  <c r="K23" i="6" s="1"/>
  <c r="G23" i="6"/>
  <c r="I22" i="6"/>
  <c r="H22" i="6"/>
  <c r="L22" i="6" s="1"/>
  <c r="G22" i="6"/>
  <c r="I21" i="6"/>
  <c r="H21" i="6"/>
  <c r="L21" i="6" s="1"/>
  <c r="G21" i="6"/>
  <c r="K21" i="6" s="1"/>
  <c r="I20" i="6"/>
  <c r="H20" i="6"/>
  <c r="L20" i="6" s="1"/>
  <c r="G20" i="6"/>
  <c r="I19" i="6"/>
  <c r="H19" i="6"/>
  <c r="G19" i="6"/>
  <c r="I18" i="6"/>
  <c r="H18" i="6"/>
  <c r="L18" i="6" s="1"/>
  <c r="G18" i="6"/>
  <c r="I17" i="6"/>
  <c r="H17" i="6"/>
  <c r="L17" i="6" s="1"/>
  <c r="G17" i="6"/>
  <c r="I16" i="6"/>
  <c r="H16" i="6"/>
  <c r="L16" i="6" s="1"/>
  <c r="G16" i="6"/>
  <c r="I15" i="6"/>
  <c r="H15" i="6"/>
  <c r="G15" i="6"/>
  <c r="I14" i="6"/>
  <c r="H14" i="6"/>
  <c r="L14" i="6" s="1"/>
  <c r="G14" i="6"/>
  <c r="L13" i="6"/>
  <c r="I13" i="6"/>
  <c r="H13" i="6"/>
  <c r="G13" i="6"/>
  <c r="I12" i="6"/>
  <c r="H12" i="6"/>
  <c r="L12" i="6" s="1"/>
  <c r="G12" i="6"/>
  <c r="I11" i="6"/>
  <c r="H11" i="6"/>
  <c r="L11" i="6" s="1"/>
  <c r="G11" i="6"/>
  <c r="I10" i="6"/>
  <c r="H10" i="6"/>
  <c r="L10" i="6" s="1"/>
  <c r="G10" i="6"/>
  <c r="L9" i="6"/>
  <c r="I9" i="6"/>
  <c r="H9" i="6"/>
  <c r="G9" i="6"/>
  <c r="K9" i="6" s="1"/>
  <c r="I8" i="6"/>
  <c r="H8" i="6"/>
  <c r="L8" i="6" s="1"/>
  <c r="G8" i="6"/>
  <c r="I7" i="6"/>
  <c r="H7" i="6"/>
  <c r="K7" i="6" s="1"/>
  <c r="G7" i="6"/>
  <c r="I6" i="6"/>
  <c r="H6" i="6"/>
  <c r="L6" i="6" s="1"/>
  <c r="G6" i="6"/>
  <c r="I5" i="6"/>
  <c r="H5" i="6"/>
  <c r="L5" i="6" s="1"/>
  <c r="G5" i="6"/>
  <c r="K5" i="6" s="1"/>
  <c r="I4" i="6"/>
  <c r="H4" i="6"/>
  <c r="L4" i="6" s="1"/>
  <c r="G4" i="6"/>
  <c r="I3" i="6"/>
  <c r="H3" i="6"/>
  <c r="L3" i="6" s="1"/>
  <c r="G3" i="6"/>
  <c r="I2" i="6"/>
  <c r="H2" i="6"/>
  <c r="L2" i="6" s="1"/>
  <c r="G2" i="6"/>
  <c r="K127" i="6" l="1"/>
  <c r="K13" i="6"/>
  <c r="K15" i="6"/>
  <c r="K30" i="6"/>
  <c r="K48" i="6"/>
  <c r="K55" i="6"/>
  <c r="K70" i="6"/>
  <c r="K77" i="6"/>
  <c r="K90" i="6"/>
  <c r="K93" i="6"/>
  <c r="K106" i="6"/>
  <c r="K109" i="6"/>
  <c r="K122" i="6"/>
  <c r="K39" i="6"/>
  <c r="K63" i="6"/>
  <c r="K17" i="6"/>
  <c r="K19" i="6"/>
  <c r="K29" i="6"/>
  <c r="K31" i="6"/>
  <c r="K46" i="6"/>
  <c r="K64" i="6"/>
  <c r="K71" i="6"/>
  <c r="K108" i="6"/>
  <c r="K119" i="6"/>
  <c r="K124" i="6"/>
  <c r="K130" i="6"/>
  <c r="K117" i="6"/>
  <c r="K125" i="6"/>
  <c r="K2" i="6"/>
  <c r="K6" i="6"/>
  <c r="K10" i="6"/>
  <c r="K14" i="6"/>
  <c r="K18" i="6"/>
  <c r="K22" i="6"/>
  <c r="K25" i="6"/>
  <c r="K28" i="6"/>
  <c r="K35" i="6"/>
  <c r="K41" i="6"/>
  <c r="K44" i="6"/>
  <c r="K51" i="6"/>
  <c r="K57" i="6"/>
  <c r="K60" i="6"/>
  <c r="K67" i="6"/>
  <c r="K73" i="6"/>
  <c r="K76" i="6"/>
  <c r="K79" i="6"/>
  <c r="K84" i="6"/>
  <c r="K87" i="6"/>
  <c r="K92" i="6"/>
  <c r="K95" i="6"/>
  <c r="K103" i="6"/>
  <c r="K111" i="6"/>
  <c r="K4" i="6"/>
  <c r="K8" i="6"/>
  <c r="K12" i="6"/>
  <c r="K16" i="6"/>
  <c r="K20" i="6"/>
  <c r="K24" i="6"/>
  <c r="K34" i="6"/>
  <c r="K37" i="6"/>
  <c r="K40" i="6"/>
  <c r="K50" i="6"/>
  <c r="K53" i="6"/>
  <c r="K56" i="6"/>
  <c r="K66" i="6"/>
  <c r="K69" i="6"/>
  <c r="K72" i="6"/>
  <c r="K78" i="6"/>
  <c r="K81" i="6"/>
  <c r="K86" i="6"/>
  <c r="K89" i="6"/>
  <c r="K94" i="6"/>
  <c r="K97" i="6"/>
  <c r="K102" i="6"/>
  <c r="K105" i="6"/>
  <c r="K110" i="6"/>
  <c r="K113" i="6"/>
  <c r="K118" i="6"/>
  <c r="K121" i="6"/>
  <c r="K126" i="6"/>
  <c r="K129" i="6"/>
  <c r="K27" i="6"/>
  <c r="K33" i="6"/>
  <c r="K36" i="6"/>
  <c r="K43" i="6"/>
  <c r="K49" i="6"/>
  <c r="K52" i="6"/>
  <c r="K59" i="6"/>
  <c r="K65" i="6"/>
  <c r="K68" i="6"/>
  <c r="K75" i="6"/>
  <c r="K80" i="6"/>
  <c r="K83" i="6"/>
  <c r="K88" i="6"/>
  <c r="K91" i="6"/>
  <c r="K96" i="6"/>
  <c r="K99" i="6"/>
  <c r="K104" i="6"/>
  <c r="K107" i="6"/>
  <c r="K112" i="6"/>
  <c r="K115" i="6"/>
  <c r="K120" i="6"/>
  <c r="K123" i="6"/>
  <c r="K128" i="6"/>
  <c r="K3" i="6"/>
  <c r="K11" i="6"/>
  <c r="L7" i="6"/>
  <c r="L15" i="6"/>
  <c r="L19" i="6"/>
  <c r="L23" i="6"/>
  <c r="L27" i="6"/>
  <c r="L31" i="6"/>
  <c r="L35" i="6"/>
  <c r="L39" i="6"/>
  <c r="L43" i="6"/>
  <c r="L47" i="6"/>
  <c r="L51" i="6"/>
  <c r="L55" i="6"/>
  <c r="L59" i="6"/>
  <c r="L63" i="6"/>
  <c r="L67" i="6"/>
  <c r="L71" i="6"/>
  <c r="L75" i="6"/>
  <c r="L79" i="6"/>
  <c r="L83" i="6"/>
  <c r="L87" i="6"/>
  <c r="L91" i="6"/>
  <c r="L95" i="6"/>
  <c r="L99" i="6"/>
  <c r="L103" i="6"/>
  <c r="L107" i="6"/>
  <c r="L111" i="6"/>
  <c r="L115" i="6"/>
  <c r="L119" i="6"/>
  <c r="L123" i="6"/>
  <c r="L127" i="6"/>
  <c r="C14" i="1" l="1"/>
  <c r="C44" i="1"/>
  <c r="F59" i="1" l="1"/>
  <c r="G59" i="1" s="1"/>
  <c r="F60" i="1" l="1"/>
  <c r="G60" i="1" s="1"/>
  <c r="G44" i="1" l="1"/>
  <c r="K44" i="1" l="1"/>
  <c r="I44" i="1"/>
  <c r="J44" i="1" s="1"/>
  <c r="F56" i="1" l="1"/>
  <c r="C42" i="1" l="1"/>
  <c r="F61" i="1"/>
  <c r="G61" i="1" s="1"/>
  <c r="G15" i="1"/>
  <c r="G14" i="1"/>
  <c r="I14" i="1" s="1"/>
  <c r="D22" i="1"/>
  <c r="F22" i="1" s="1"/>
  <c r="K15" i="1" l="1"/>
  <c r="I15" i="1"/>
  <c r="J15" i="1" s="1"/>
  <c r="N18" i="1"/>
  <c r="K14" i="1"/>
  <c r="J14" i="1"/>
  <c r="K53" i="1" l="1"/>
  <c r="I53" i="1"/>
  <c r="G53" i="1"/>
  <c r="K16" i="1"/>
  <c r="J16" i="1"/>
  <c r="I16" i="1"/>
  <c r="G16" i="1"/>
  <c r="I59" i="1"/>
  <c r="F62" i="1"/>
  <c r="G62" i="1" s="1"/>
  <c r="I62" i="1" s="1"/>
  <c r="I60" i="1"/>
  <c r="J60" i="1" s="1"/>
  <c r="I61" i="1"/>
  <c r="J61" i="1" s="1"/>
  <c r="J53" i="1" l="1"/>
  <c r="F18" i="1" l="1"/>
  <c r="G40" i="1" s="1"/>
  <c r="I40" i="1" s="1"/>
  <c r="C5" i="1"/>
  <c r="E43" i="1" s="1"/>
  <c r="F21" i="1"/>
  <c r="F19" i="1"/>
  <c r="F25" i="1"/>
  <c r="F29" i="1"/>
  <c r="F32" i="1"/>
  <c r="G58" i="1"/>
  <c r="I58" i="1" s="1"/>
  <c r="J59" i="1"/>
  <c r="F27" i="1" l="1"/>
  <c r="E63" i="1"/>
  <c r="F26" i="1"/>
  <c r="J58" i="1"/>
  <c r="J62" i="1"/>
  <c r="C43" i="1"/>
  <c r="G57" i="1"/>
  <c r="I57" i="1" s="1"/>
  <c r="G56" i="1"/>
  <c r="F20" i="1"/>
  <c r="G32" i="1" s="1"/>
  <c r="I32" i="1" s="1"/>
  <c r="K17" i="1" l="1"/>
  <c r="G17" i="1"/>
  <c r="I17" i="1" s="1"/>
  <c r="K24" i="1"/>
  <c r="K23" i="1" s="1"/>
  <c r="G24" i="1"/>
  <c r="I24" i="1" s="1"/>
  <c r="C63" i="1"/>
  <c r="F63" i="1" s="1"/>
  <c r="G63" i="1" s="1"/>
  <c r="G43" i="1"/>
  <c r="K43" i="1"/>
  <c r="K45" i="1" s="1"/>
  <c r="I56" i="1"/>
  <c r="J56" i="1" s="1"/>
  <c r="J40" i="1"/>
  <c r="J57" i="1"/>
  <c r="F35" i="1"/>
  <c r="J24" i="1" l="1"/>
  <c r="F30" i="1"/>
  <c r="G45" i="1"/>
  <c r="I43" i="1"/>
  <c r="G64" i="1"/>
  <c r="I63" i="1"/>
  <c r="J63" i="1" s="1"/>
  <c r="G34" i="1"/>
  <c r="K34" i="1"/>
  <c r="K39" i="1" s="1"/>
  <c r="J17" i="1"/>
  <c r="J32" i="1"/>
  <c r="F31" i="1"/>
  <c r="G28" i="1" l="1"/>
  <c r="I28" i="1" s="1"/>
  <c r="I34" i="1"/>
  <c r="I39" i="1" s="1"/>
  <c r="G39" i="1"/>
  <c r="J43" i="1"/>
  <c r="J45" i="1" s="1"/>
  <c r="I45" i="1"/>
  <c r="J64" i="1"/>
  <c r="I64" i="1"/>
  <c r="G23" i="1"/>
  <c r="I23" i="1" s="1"/>
  <c r="J28" i="1" l="1"/>
  <c r="J34" i="1"/>
  <c r="J39" i="1" s="1"/>
  <c r="K33" i="1"/>
  <c r="K65" i="1" s="1"/>
  <c r="N23" i="1" s="1"/>
  <c r="G33" i="1"/>
  <c r="G65" i="1" s="1"/>
  <c r="I33" i="1"/>
  <c r="N19" i="1" l="1"/>
  <c r="N20" i="1" s="1"/>
  <c r="N21" i="1" s="1"/>
  <c r="I65" i="1"/>
  <c r="N22" i="1" s="1"/>
  <c r="J23" i="1"/>
  <c r="J33" i="1" s="1"/>
  <c r="J65" i="1" s="1"/>
</calcChain>
</file>

<file path=xl/comments1.xml><?xml version="1.0" encoding="utf-8"?>
<comments xmlns="http://schemas.openxmlformats.org/spreadsheetml/2006/main">
  <authors>
    <author>duke</author>
    <author>user</author>
  </authors>
  <commentList>
    <comment ref="A5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양식을 잘 지켜주세요 xxxx-xx-xx
</t>
        </r>
      </text>
    </comment>
    <comment ref="F5" authorId="0">
      <text>
        <r>
          <rPr>
            <b/>
            <sz val="9"/>
            <color indexed="81"/>
            <rFont val="굴림"/>
            <family val="3"/>
            <charset val="129"/>
          </rPr>
          <t>도시(국가)</t>
        </r>
      </text>
    </comment>
    <comment ref="G5" authorId="0">
      <text>
        <r>
          <rPr>
            <b/>
            <sz val="9"/>
            <color indexed="81"/>
            <rFont val="굴림"/>
            <family val="3"/>
            <charset val="129"/>
          </rPr>
          <t>드롭다운메뉴에서 선택
(KOTRA 기준단가표 참고)</t>
        </r>
      </text>
    </comment>
    <comment ref="B7" authorId="0">
      <text>
        <r>
          <rPr>
            <b/>
            <sz val="9"/>
            <color indexed="81"/>
            <rFont val="굴림"/>
            <family val="3"/>
            <charset val="129"/>
          </rPr>
          <t>드롭다운메뉴에서 선택
(USD,EUR,CNY,JPY)
타 통화의 경우 변환식 별도 기재</t>
        </r>
      </text>
    </comment>
    <comment ref="H9" authorId="1">
      <text>
        <r>
          <rPr>
            <sz val="12"/>
            <color indexed="81"/>
            <rFont val="돋움"/>
            <family val="3"/>
            <charset val="129"/>
          </rPr>
          <t>업체수</t>
        </r>
        <r>
          <rPr>
            <sz val="12"/>
            <color indexed="81"/>
            <rFont val="Tahoma"/>
            <family val="2"/>
          </rPr>
          <t>+</t>
        </r>
        <r>
          <rPr>
            <sz val="12"/>
            <color indexed="81"/>
            <rFont val="돋움"/>
            <family val="3"/>
            <charset val="129"/>
          </rPr>
          <t>주관단체</t>
        </r>
        <r>
          <rPr>
            <sz val="12"/>
            <color indexed="81"/>
            <rFont val="Tahoma"/>
            <family val="2"/>
          </rPr>
          <t xml:space="preserve"> 1</t>
        </r>
        <r>
          <rPr>
            <sz val="12"/>
            <color indexed="81"/>
            <rFont val="돋움"/>
            <family val="3"/>
            <charset val="129"/>
          </rPr>
          <t>명까지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가능</t>
        </r>
        <r>
          <rPr>
            <sz val="12"/>
            <color indexed="81"/>
            <rFont val="Tahoma"/>
            <family val="2"/>
          </rPr>
          <t>(</t>
        </r>
        <r>
          <rPr>
            <sz val="12"/>
            <color indexed="81"/>
            <rFont val="돋움"/>
            <family val="3"/>
            <charset val="129"/>
          </rPr>
          <t>자부담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별도</t>
        </r>
        <r>
          <rPr>
            <sz val="12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0" authorId="1">
      <text>
        <r>
          <rPr>
            <b/>
            <sz val="9"/>
            <color indexed="81"/>
            <rFont val="돋움"/>
            <family val="3"/>
            <charset val="129"/>
          </rPr>
          <t>해상</t>
        </r>
        <r>
          <rPr>
            <b/>
            <sz val="9"/>
            <color indexed="81"/>
            <rFont val="Tahoma"/>
            <family val="2"/>
          </rPr>
          <t xml:space="preserve">1CBM </t>
        </r>
        <r>
          <rPr>
            <b/>
            <sz val="9"/>
            <color indexed="81"/>
            <rFont val="돋움"/>
            <family val="3"/>
            <charset val="129"/>
          </rPr>
          <t>초과비용은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업체부담</t>
        </r>
      </text>
    </comment>
    <comment ref="F62" authorId="1">
      <text>
        <r>
          <rPr>
            <b/>
            <sz val="9"/>
            <color indexed="81"/>
            <rFont val="Tahoma"/>
            <family val="2"/>
          </rPr>
          <t>16</t>
        </r>
        <r>
          <rPr>
            <b/>
            <sz val="9"/>
            <color indexed="81"/>
            <rFont val="돋움"/>
            <family val="3"/>
            <charset val="129"/>
          </rPr>
          <t>개사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주관단체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명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지원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자동계산</t>
        </r>
        <r>
          <rPr>
            <b/>
            <sz val="9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<sst xmlns="http://schemas.openxmlformats.org/spreadsheetml/2006/main" count="1081" uniqueCount="412">
  <si>
    <t>예산용도</t>
  </si>
  <si>
    <t xml:space="preserve"> 세부내역</t>
  </si>
  <si>
    <t>지원금액</t>
  </si>
  <si>
    <t>개산급 지급액</t>
  </si>
  <si>
    <t>사후 지급액</t>
  </si>
  <si>
    <t>업체</t>
  </si>
  <si>
    <t>㎡</t>
  </si>
  <si>
    <t>ㅇ부스장치비</t>
  </si>
  <si>
    <t>소  계</t>
  </si>
  <si>
    <t>단가</t>
  </si>
  <si>
    <t>규모</t>
  </si>
  <si>
    <t>소 계</t>
  </si>
  <si>
    <t>(</t>
    <phoneticPr fontId="23" type="noConversion"/>
  </si>
  <si>
    <t>)</t>
    <phoneticPr fontId="23" type="noConversion"/>
  </si>
  <si>
    <t xml:space="preserve"> - 지원 업체수</t>
    <phoneticPr fontId="23" type="noConversion"/>
  </si>
  <si>
    <t xml:space="preserve"> - 임차료 단가</t>
    <phoneticPr fontId="23" type="noConversion"/>
  </si>
  <si>
    <t>/㎡</t>
    <phoneticPr fontId="23" type="noConversion"/>
  </si>
  <si>
    <t xml:space="preserve"> - 지원규모</t>
    <phoneticPr fontId="23" type="noConversion"/>
  </si>
  <si>
    <t xml:space="preserve">   - 1부스 규모</t>
    <phoneticPr fontId="23" type="noConversion"/>
  </si>
  <si>
    <t xml:space="preserve"> - 환 율</t>
    <phoneticPr fontId="23" type="noConversion"/>
  </si>
  <si>
    <t>ㅇ등록비 등</t>
    <phoneticPr fontId="23" type="noConversion"/>
  </si>
  <si>
    <t xml:space="preserve"> - 등록비 단가</t>
    <phoneticPr fontId="23" type="noConversion"/>
  </si>
  <si>
    <t>/업체</t>
    <phoneticPr fontId="23" type="noConversion"/>
  </si>
  <si>
    <t xml:space="preserve"> - 환율</t>
    <phoneticPr fontId="23" type="noConversion"/>
  </si>
  <si>
    <t>원/</t>
    <phoneticPr fontId="23" type="noConversion"/>
  </si>
  <si>
    <t>ㅇVAT</t>
    <phoneticPr fontId="23" type="noConversion"/>
  </si>
  <si>
    <t xml:space="preserve"> - 세율</t>
    <phoneticPr fontId="23" type="noConversion"/>
  </si>
  <si>
    <t>ㅇ보험료</t>
    <phoneticPr fontId="23" type="noConversion"/>
  </si>
  <si>
    <t>소  계</t>
    <phoneticPr fontId="23" type="noConversion"/>
  </si>
  <si>
    <t xml:space="preserve"> - 참가면적</t>
    <phoneticPr fontId="23" type="noConversion"/>
  </si>
  <si>
    <t xml:space="preserve"> - 장치비단가</t>
    <phoneticPr fontId="23" type="noConversion"/>
  </si>
  <si>
    <t xml:space="preserve"> - 지원비율</t>
    <phoneticPr fontId="23" type="noConversion"/>
  </si>
  <si>
    <t>ㅇ전시물품 운송료</t>
    <phoneticPr fontId="23" type="noConversion"/>
  </si>
  <si>
    <t xml:space="preserve"> - 1CBM 단가</t>
    <phoneticPr fontId="23" type="noConversion"/>
  </si>
  <si>
    <t>원</t>
    <phoneticPr fontId="23" type="noConversion"/>
  </si>
  <si>
    <t>ㅇ 공동홍보관 운영</t>
    <phoneticPr fontId="23" type="noConversion"/>
  </si>
  <si>
    <t xml:space="preserve"> - 부스임차(㎡)</t>
    <phoneticPr fontId="23" type="noConversion"/>
  </si>
  <si>
    <t xml:space="preserve"> - 장치비</t>
    <phoneticPr fontId="23" type="noConversion"/>
  </si>
  <si>
    <t xml:space="preserve"> - 회선임차</t>
    <phoneticPr fontId="23" type="noConversion"/>
  </si>
  <si>
    <t>광저우</t>
  </si>
  <si>
    <t>마이애미</t>
  </si>
  <si>
    <t>뉴욕</t>
  </si>
  <si>
    <t>샌프란시스코</t>
  </si>
  <si>
    <t>시카고</t>
  </si>
  <si>
    <t>디트로이트</t>
  </si>
  <si>
    <t>워싱턴</t>
  </si>
  <si>
    <t>밴쿠버/토론토</t>
  </si>
  <si>
    <t>런던</t>
  </si>
  <si>
    <t>프랑크푸르트</t>
  </si>
  <si>
    <t>파리</t>
  </si>
  <si>
    <t>뮌헨</t>
  </si>
  <si>
    <t>함부르크</t>
  </si>
  <si>
    <t>밀라노</t>
  </si>
  <si>
    <t>이스탄불</t>
  </si>
  <si>
    <t>홍콩</t>
  </si>
  <si>
    <t>파나마</t>
  </si>
  <si>
    <t>멕시코시티</t>
  </si>
  <si>
    <t>모스크바</t>
  </si>
  <si>
    <t>블라디보스톡</t>
  </si>
  <si>
    <t>싱가포르</t>
  </si>
  <si>
    <t>쿠알라룸푸르</t>
  </si>
  <si>
    <t>방콕</t>
  </si>
  <si>
    <t>호치민</t>
  </si>
  <si>
    <t>하노이</t>
  </si>
  <si>
    <t>양곤</t>
  </si>
  <si>
    <t>뉴델리</t>
  </si>
  <si>
    <t>뭄바이</t>
  </si>
  <si>
    <t>두바이</t>
  </si>
  <si>
    <t>카이로</t>
  </si>
  <si>
    <t>테헤란</t>
  </si>
  <si>
    <t>암만</t>
  </si>
  <si>
    <t>나이로비</t>
  </si>
  <si>
    <t>바그다드</t>
  </si>
  <si>
    <t>트리폴리</t>
  </si>
  <si>
    <t>USD</t>
  </si>
  <si>
    <t>등록비</t>
    <phoneticPr fontId="23" type="noConversion"/>
  </si>
  <si>
    <t>참여업체수</t>
    <phoneticPr fontId="23" type="noConversion"/>
  </si>
  <si>
    <t>임차료통화</t>
    <phoneticPr fontId="23" type="noConversion"/>
  </si>
  <si>
    <t>보험료단가</t>
    <phoneticPr fontId="23" type="noConversion"/>
  </si>
  <si>
    <t>운송단가(1cbm)</t>
    <phoneticPr fontId="23" type="noConversion"/>
  </si>
  <si>
    <t>회선임차</t>
    <phoneticPr fontId="23" type="noConversion"/>
  </si>
  <si>
    <t>단가기준도시</t>
    <phoneticPr fontId="23" type="noConversion"/>
  </si>
  <si>
    <t>시작일시</t>
    <phoneticPr fontId="23" type="noConversion"/>
  </si>
  <si>
    <t>완료일시</t>
    <phoneticPr fontId="23" type="noConversion"/>
  </si>
  <si>
    <t>* 노란색 부분만 기재하여 주시기 바랍니다.</t>
    <phoneticPr fontId="23" type="noConversion"/>
  </si>
  <si>
    <t>다롄</t>
  </si>
  <si>
    <t>다카</t>
  </si>
  <si>
    <t>상파울루</t>
  </si>
  <si>
    <t>알마티</t>
  </si>
  <si>
    <t>암스테르담</t>
  </si>
  <si>
    <t>키예프</t>
  </si>
  <si>
    <t>타이베이</t>
  </si>
  <si>
    <t>순번</t>
    <phoneticPr fontId="23" type="noConversion"/>
  </si>
  <si>
    <t>총 계</t>
    <phoneticPr fontId="23" type="noConversion"/>
  </si>
  <si>
    <t>주관단체명</t>
    <phoneticPr fontId="23" type="noConversion"/>
  </si>
  <si>
    <t>임차단가(㎡)</t>
    <phoneticPr fontId="23" type="noConversion"/>
  </si>
  <si>
    <t>기본부스면적(㎡)</t>
    <phoneticPr fontId="23" type="noConversion"/>
  </si>
  <si>
    <t>전시국가</t>
    <phoneticPr fontId="23" type="noConversion"/>
  </si>
  <si>
    <t xml:space="preserve"> - 항공료(주관단체1인)</t>
    <phoneticPr fontId="23" type="noConversion"/>
  </si>
  <si>
    <t>로스앤젤레스</t>
  </si>
  <si>
    <t>연번</t>
  </si>
  <si>
    <t>00조합/협회 등</t>
    <phoneticPr fontId="23" type="noConversion"/>
  </si>
  <si>
    <t>마드리드</t>
  </si>
  <si>
    <t>바르샤바</t>
  </si>
  <si>
    <t>부다페스트</t>
  </si>
  <si>
    <t>부쿠레슈티</t>
  </si>
  <si>
    <t>브뤼셀</t>
  </si>
  <si>
    <t>빈</t>
  </si>
  <si>
    <t>소피아</t>
  </si>
  <si>
    <t>스톡홀름</t>
  </si>
  <si>
    <t>아테네</t>
  </si>
  <si>
    <t>자그레브</t>
  </si>
  <si>
    <t>코펜하겐</t>
  </si>
  <si>
    <t>프라하</t>
  </si>
  <si>
    <t>헬싱키</t>
  </si>
  <si>
    <t>달라스</t>
  </si>
  <si>
    <t>실리콘밸리</t>
  </si>
  <si>
    <t>마닐라</t>
  </si>
  <si>
    <t>벵갈루루</t>
  </si>
  <si>
    <t>비엔티안</t>
  </si>
  <si>
    <t>수라바야</t>
  </si>
  <si>
    <t>오클랜드</t>
  </si>
  <si>
    <t>자카르타</t>
  </si>
  <si>
    <t>첸나이</t>
  </si>
  <si>
    <t>카라치</t>
  </si>
  <si>
    <t>콜롬보</t>
  </si>
  <si>
    <t>프놈펜</t>
  </si>
  <si>
    <t>나고야</t>
  </si>
  <si>
    <t>오사카</t>
  </si>
  <si>
    <t>후쿠오카</t>
  </si>
  <si>
    <t>난징</t>
  </si>
  <si>
    <t>샤먼</t>
  </si>
  <si>
    <t>선양</t>
  </si>
  <si>
    <t>선전</t>
  </si>
  <si>
    <t>시안</t>
  </si>
  <si>
    <t>우한</t>
  </si>
  <si>
    <t>정저우</t>
  </si>
  <si>
    <t>창사</t>
  </si>
  <si>
    <t>청두</t>
  </si>
  <si>
    <t>충칭</t>
  </si>
  <si>
    <t>칭다오</t>
  </si>
  <si>
    <t>톈진</t>
  </si>
  <si>
    <t>항저우</t>
  </si>
  <si>
    <t>과테말라</t>
  </si>
  <si>
    <t>리마</t>
  </si>
  <si>
    <t>리우데자네이루</t>
  </si>
  <si>
    <t>보고타</t>
  </si>
  <si>
    <t>부에노스아이레스</t>
  </si>
  <si>
    <t>산토도밍고</t>
  </si>
  <si>
    <t>산티아고</t>
  </si>
  <si>
    <t>아순시온</t>
  </si>
  <si>
    <t>키토</t>
  </si>
  <si>
    <t>다마스커스</t>
  </si>
  <si>
    <t>도하</t>
  </si>
  <si>
    <t>리야드</t>
  </si>
  <si>
    <t>무스카트</t>
  </si>
  <si>
    <t>알제</t>
  </si>
  <si>
    <t>카사블랑카</t>
  </si>
  <si>
    <t>쿠웨이트</t>
  </si>
  <si>
    <t>텔아비브</t>
  </si>
  <si>
    <t>다레살람</t>
  </si>
  <si>
    <t>두알라</t>
  </si>
  <si>
    <t>라고스</t>
  </si>
  <si>
    <t>마푸투</t>
  </si>
  <si>
    <t>아디스아바바</t>
  </si>
  <si>
    <t>아크라</t>
  </si>
  <si>
    <t>요하네스버그</t>
  </si>
  <si>
    <t>카르툼</t>
  </si>
  <si>
    <t>노보시비르스크</t>
  </si>
  <si>
    <t>민스크</t>
  </si>
  <si>
    <t>바쿠</t>
  </si>
  <si>
    <t>상트페테르부르크</t>
  </si>
  <si>
    <t>타슈켄트</t>
  </si>
  <si>
    <t>울란바토르</t>
  </si>
  <si>
    <t>미시건</t>
  </si>
  <si>
    <t>애너하임</t>
  </si>
  <si>
    <t>프리드리히샤펀</t>
  </si>
  <si>
    <t>VAT(%)</t>
  </si>
  <si>
    <t>전시기간</t>
    <phoneticPr fontId="23" type="noConversion"/>
  </si>
  <si>
    <t>* 검색시 도시명이 없는 경우, 동일국가 최근접 도시로 선택</t>
    <phoneticPr fontId="23" type="noConversion"/>
  </si>
  <si>
    <t>미국(시카고)</t>
    <phoneticPr fontId="23" type="noConversion"/>
  </si>
  <si>
    <t>하얼빈</t>
  </si>
  <si>
    <t>동관</t>
  </si>
  <si>
    <t>곤명</t>
  </si>
  <si>
    <t>쾰른</t>
  </si>
  <si>
    <t>뒤셀도르프</t>
  </si>
  <si>
    <t>뉴렌버그</t>
  </si>
  <si>
    <t>베로나</t>
  </si>
  <si>
    <t>라스베가스</t>
  </si>
  <si>
    <t>통화</t>
  </si>
  <si>
    <t>장치비(㎡)</t>
  </si>
  <si>
    <t>CNY</t>
    <phoneticPr fontId="23" type="noConversion"/>
  </si>
  <si>
    <t>선전</t>
    <phoneticPr fontId="23" type="noConversion"/>
  </si>
  <si>
    <t>충칭</t>
    <phoneticPr fontId="23" type="noConversion"/>
  </si>
  <si>
    <t>다롄</t>
    <phoneticPr fontId="23" type="noConversion"/>
  </si>
  <si>
    <t>EUR</t>
    <phoneticPr fontId="23" type="noConversion"/>
  </si>
  <si>
    <t>JPY</t>
    <phoneticPr fontId="23" type="noConversion"/>
  </si>
  <si>
    <t>USD</t>
    <phoneticPr fontId="23" type="noConversion"/>
  </si>
  <si>
    <t>프랑크푸르트</t>
    <phoneticPr fontId="23" type="noConversion"/>
  </si>
  <si>
    <t xml:space="preserve"> - 기타운영</t>
    <phoneticPr fontId="23" type="noConversion"/>
  </si>
  <si>
    <t xml:space="preserve"> - 사전간담회(국내)</t>
    <phoneticPr fontId="23" type="noConversion"/>
  </si>
  <si>
    <t xml:space="preserve"> - 현지간담회</t>
    <phoneticPr fontId="23" type="noConversion"/>
  </si>
  <si>
    <t>사후관리단계</t>
    <phoneticPr fontId="23" type="noConversion"/>
  </si>
  <si>
    <t>비고</t>
  </si>
  <si>
    <t>용역비</t>
  </si>
  <si>
    <t>1차보조금</t>
  </si>
  <si>
    <t>업체부담금</t>
    <phoneticPr fontId="23" type="noConversion"/>
  </si>
  <si>
    <t>사전준비단계</t>
    <phoneticPr fontId="23" type="noConversion"/>
  </si>
  <si>
    <t>운영비</t>
    <phoneticPr fontId="23" type="noConversion"/>
  </si>
  <si>
    <t>현지활동단계</t>
    <phoneticPr fontId="23" type="noConversion"/>
  </si>
  <si>
    <t>구성운영비 초과여부</t>
    <phoneticPr fontId="23" type="noConversion"/>
  </si>
  <si>
    <t>1단계</t>
    <phoneticPr fontId="23" type="noConversion"/>
  </si>
  <si>
    <t>3단계</t>
    <phoneticPr fontId="23" type="noConversion"/>
  </si>
  <si>
    <t>바이어항공료</t>
    <phoneticPr fontId="23" type="noConversion"/>
  </si>
  <si>
    <t>초청바이어수</t>
    <phoneticPr fontId="23" type="noConversion"/>
  </si>
  <si>
    <t>주관단체항공료</t>
    <phoneticPr fontId="23" type="noConversion"/>
  </si>
  <si>
    <t>상담장임차</t>
    <phoneticPr fontId="23" type="noConversion"/>
  </si>
  <si>
    <t>차량임차</t>
    <phoneticPr fontId="23" type="noConversion"/>
  </si>
  <si>
    <t>신용조사단가</t>
    <phoneticPr fontId="23" type="noConversion"/>
  </si>
  <si>
    <t>해외마케팅·홍보</t>
    <phoneticPr fontId="23" type="noConversion"/>
  </si>
  <si>
    <t xml:space="preserve"> - 국외여비(주관단체1인)</t>
    <phoneticPr fontId="23" type="noConversion"/>
  </si>
  <si>
    <t>ㅇ 차량 임차</t>
    <phoneticPr fontId="23" type="noConversion"/>
  </si>
  <si>
    <t>로스앤젤레스</t>
    <phoneticPr fontId="23" type="noConversion"/>
  </si>
  <si>
    <t>디트로이트</t>
    <phoneticPr fontId="23" type="noConversion"/>
  </si>
  <si>
    <t>2단계</t>
    <phoneticPr fontId="23" type="noConversion"/>
  </si>
  <si>
    <t>ㅇ 통역</t>
    <phoneticPr fontId="23" type="noConversion"/>
  </si>
  <si>
    <t>통역단가</t>
    <phoneticPr fontId="23" type="noConversion"/>
  </si>
  <si>
    <t>* 현재 입력된 것은 예시 입니다</t>
    <phoneticPr fontId="23" type="noConversion"/>
  </si>
  <si>
    <r>
      <t>(사업비 1</t>
    </r>
    <r>
      <rPr>
        <sz val="11"/>
        <color theme="1"/>
        <rFont val="맑은 고딕"/>
        <family val="2"/>
        <charset val="129"/>
        <scheme val="minor"/>
      </rPr>
      <t>5</t>
    </r>
    <r>
      <rPr>
        <sz val="11"/>
        <color theme="1"/>
        <rFont val="맑은 고딕"/>
        <family val="2"/>
        <charset val="129"/>
        <scheme val="minor"/>
      </rPr>
      <t>%)</t>
    </r>
    <phoneticPr fontId="23" type="noConversion"/>
  </si>
  <si>
    <t>* 부스임차료, 장치비, 운송료, 운영비간 항목조정은 "수출컨소시엄 운영지침" 참조 / 지원환율은 변동가능</t>
    <phoneticPr fontId="23" type="noConversion"/>
  </si>
  <si>
    <t>* 사후정산 신청시 정산서류는 사본 제출(원본대조필 날인)</t>
    <phoneticPr fontId="23" type="noConversion"/>
  </si>
  <si>
    <t>총 사업비</t>
    <phoneticPr fontId="23" type="noConversion"/>
  </si>
  <si>
    <t>* 해외전시포탈 업로드 : 예산서(엑셀), 전시회브로셔(1㎡당 단가, 회선임차 단가 포함), 해상운송(편도 1cbm) 견적서</t>
    <phoneticPr fontId="23" type="noConversion"/>
  </si>
  <si>
    <t>구분</t>
    <phoneticPr fontId="23" type="noConversion"/>
  </si>
  <si>
    <t>국가</t>
    <phoneticPr fontId="23" type="noConversion"/>
  </si>
  <si>
    <t>지역</t>
    <phoneticPr fontId="23" type="noConversion"/>
  </si>
  <si>
    <t>통화</t>
    <phoneticPr fontId="23" type="noConversion"/>
  </si>
  <si>
    <t>일비</t>
    <phoneticPr fontId="23" type="noConversion"/>
  </si>
  <si>
    <t>숙박비</t>
    <phoneticPr fontId="23" type="noConversion"/>
  </si>
  <si>
    <t>식비</t>
    <phoneticPr fontId="23" type="noConversion"/>
  </si>
  <si>
    <t>환율</t>
    <phoneticPr fontId="23" type="noConversion"/>
  </si>
  <si>
    <t>원화</t>
    <phoneticPr fontId="23" type="noConversion"/>
  </si>
  <si>
    <t>1일숙박 제외</t>
    <phoneticPr fontId="23" type="noConversion"/>
  </si>
  <si>
    <t>가</t>
    <phoneticPr fontId="23" type="noConversion"/>
  </si>
  <si>
    <t>도쿄</t>
    <phoneticPr fontId="23" type="noConversion"/>
  </si>
  <si>
    <t>나</t>
    <phoneticPr fontId="23" type="noConversion"/>
  </si>
  <si>
    <t>다</t>
    <phoneticPr fontId="23" type="noConversion"/>
  </si>
  <si>
    <t>라</t>
    <phoneticPr fontId="23" type="noConversion"/>
  </si>
  <si>
    <t>제네바</t>
    <phoneticPr fontId="23" type="noConversion"/>
  </si>
  <si>
    <t>타이완</t>
    <phoneticPr fontId="23" type="noConversion"/>
  </si>
  <si>
    <t>베이징</t>
    <phoneticPr fontId="23" type="noConversion"/>
  </si>
  <si>
    <t>아시아</t>
    <phoneticPr fontId="23" type="noConversion"/>
  </si>
  <si>
    <t>인도</t>
    <phoneticPr fontId="23" type="noConversion"/>
  </si>
  <si>
    <t>방갈로르</t>
    <phoneticPr fontId="23" type="noConversion"/>
  </si>
  <si>
    <t>일본</t>
    <phoneticPr fontId="23" type="noConversion"/>
  </si>
  <si>
    <t>오사카</t>
    <phoneticPr fontId="23" type="noConversion"/>
  </si>
  <si>
    <t>치바</t>
    <phoneticPr fontId="23" type="noConversion"/>
  </si>
  <si>
    <t>후쿠오카</t>
    <phoneticPr fontId="23" type="noConversion"/>
  </si>
  <si>
    <t>카자흐스탄</t>
    <phoneticPr fontId="23" type="noConversion"/>
  </si>
  <si>
    <t>아메리카</t>
    <phoneticPr fontId="23" type="noConversion"/>
  </si>
  <si>
    <t>멕시코</t>
    <phoneticPr fontId="23" type="noConversion"/>
  </si>
  <si>
    <t>미국</t>
    <phoneticPr fontId="23" type="noConversion"/>
  </si>
  <si>
    <t>라스베가스</t>
    <phoneticPr fontId="23" type="noConversion"/>
  </si>
  <si>
    <t>구분</t>
    <phoneticPr fontId="23" type="noConversion"/>
  </si>
  <si>
    <t>애너하임</t>
    <phoneticPr fontId="23" type="noConversion"/>
  </si>
  <si>
    <t>솔트레이크시티</t>
    <phoneticPr fontId="23" type="noConversion"/>
  </si>
  <si>
    <t>미시건</t>
    <phoneticPr fontId="23" type="noConversion"/>
  </si>
  <si>
    <t>하노버</t>
    <phoneticPr fontId="23" type="noConversion"/>
  </si>
  <si>
    <t>휴스턴</t>
    <phoneticPr fontId="23" type="noConversion"/>
  </si>
  <si>
    <t>브라질</t>
    <phoneticPr fontId="23" type="noConversion"/>
  </si>
  <si>
    <t>상파울루</t>
    <phoneticPr fontId="23" type="noConversion"/>
  </si>
  <si>
    <t>아르헨티나</t>
    <phoneticPr fontId="23" type="noConversion"/>
  </si>
  <si>
    <t>캐나다</t>
    <phoneticPr fontId="23" type="noConversion"/>
  </si>
  <si>
    <t>밴쿠버</t>
    <phoneticPr fontId="23" type="noConversion"/>
  </si>
  <si>
    <t>토론토</t>
    <phoneticPr fontId="23" type="noConversion"/>
  </si>
  <si>
    <t>유럽주</t>
    <phoneticPr fontId="23" type="noConversion"/>
  </si>
  <si>
    <t>그리스</t>
    <phoneticPr fontId="23" type="noConversion"/>
  </si>
  <si>
    <t>네덜란드</t>
    <phoneticPr fontId="23" type="noConversion"/>
  </si>
  <si>
    <t>댄마크</t>
    <phoneticPr fontId="23" type="noConversion"/>
  </si>
  <si>
    <t>독일</t>
    <phoneticPr fontId="23" type="noConversion"/>
  </si>
  <si>
    <t>뒤셀도르프</t>
    <phoneticPr fontId="23" type="noConversion"/>
  </si>
  <si>
    <t>베를린</t>
    <phoneticPr fontId="23" type="noConversion"/>
  </si>
  <si>
    <t>프리드리히샤펀</t>
    <phoneticPr fontId="23" type="noConversion"/>
  </si>
  <si>
    <t>슈투트가르트</t>
    <phoneticPr fontId="23" type="noConversion"/>
  </si>
  <si>
    <t>쾰른</t>
    <phoneticPr fontId="23" type="noConversion"/>
  </si>
  <si>
    <t>뉴렌버그</t>
    <phoneticPr fontId="23" type="noConversion"/>
  </si>
  <si>
    <t>러시아</t>
    <phoneticPr fontId="23" type="noConversion"/>
  </si>
  <si>
    <t>벨기에</t>
    <phoneticPr fontId="23" type="noConversion"/>
  </si>
  <si>
    <t>스웨덴</t>
    <phoneticPr fontId="23" type="noConversion"/>
  </si>
  <si>
    <t>스위스</t>
    <phoneticPr fontId="23" type="noConversion"/>
  </si>
  <si>
    <t>취리히</t>
    <phoneticPr fontId="23" type="noConversion"/>
  </si>
  <si>
    <t>스페인</t>
    <phoneticPr fontId="23" type="noConversion"/>
  </si>
  <si>
    <t>영국</t>
    <phoneticPr fontId="23" type="noConversion"/>
  </si>
  <si>
    <t>에버딘</t>
    <phoneticPr fontId="23" type="noConversion"/>
  </si>
  <si>
    <t>오스트리아</t>
    <phoneticPr fontId="23" type="noConversion"/>
  </si>
  <si>
    <t>우크라이나</t>
    <phoneticPr fontId="23" type="noConversion"/>
  </si>
  <si>
    <t>이탈리아</t>
    <phoneticPr fontId="23" type="noConversion"/>
  </si>
  <si>
    <t>베로나</t>
    <phoneticPr fontId="23" type="noConversion"/>
  </si>
  <si>
    <t>핀란드</t>
    <phoneticPr fontId="23" type="noConversion"/>
  </si>
  <si>
    <t>헝가리</t>
    <phoneticPr fontId="23" type="noConversion"/>
  </si>
  <si>
    <t>중동</t>
    <phoneticPr fontId="23" type="noConversion"/>
  </si>
  <si>
    <t>UAE</t>
    <phoneticPr fontId="23" type="noConversion"/>
  </si>
  <si>
    <t>아부다비</t>
    <phoneticPr fontId="23" type="noConversion"/>
  </si>
  <si>
    <t>리비아</t>
    <phoneticPr fontId="23" type="noConversion"/>
  </si>
  <si>
    <t>사우디아라비아</t>
    <phoneticPr fontId="23" type="noConversion"/>
  </si>
  <si>
    <t>리야드</t>
    <phoneticPr fontId="23" type="noConversion"/>
  </si>
  <si>
    <t>오만</t>
    <phoneticPr fontId="23" type="noConversion"/>
  </si>
  <si>
    <t>이집트</t>
    <phoneticPr fontId="23" type="noConversion"/>
  </si>
  <si>
    <t>카타르</t>
    <phoneticPr fontId="23" type="noConversion"/>
  </si>
  <si>
    <t>아프리카</t>
    <phoneticPr fontId="23" type="noConversion"/>
  </si>
  <si>
    <t>남아프리카공화국</t>
    <phoneticPr fontId="23" type="noConversion"/>
  </si>
  <si>
    <t>요하네스버그</t>
    <phoneticPr fontId="23" type="noConversion"/>
  </si>
  <si>
    <t>말레이시아</t>
    <phoneticPr fontId="23" type="noConversion"/>
  </si>
  <si>
    <t>방글라데시</t>
    <phoneticPr fontId="23" type="noConversion"/>
  </si>
  <si>
    <t>아제르바이잔</t>
    <phoneticPr fontId="23" type="noConversion"/>
  </si>
  <si>
    <t>인도네시아</t>
    <phoneticPr fontId="23" type="noConversion"/>
  </si>
  <si>
    <t>자카르타</t>
    <phoneticPr fontId="23" type="noConversion"/>
  </si>
  <si>
    <t>중국</t>
    <phoneticPr fontId="23" type="noConversion"/>
  </si>
  <si>
    <t>동관</t>
    <phoneticPr fontId="23" type="noConversion"/>
  </si>
  <si>
    <t>상하이</t>
    <phoneticPr fontId="23" type="noConversion"/>
  </si>
  <si>
    <t>선전</t>
    <phoneticPr fontId="23" type="noConversion"/>
  </si>
  <si>
    <t>하얼빈</t>
    <phoneticPr fontId="23" type="noConversion"/>
  </si>
  <si>
    <t>곤명</t>
    <phoneticPr fontId="23" type="noConversion"/>
  </si>
  <si>
    <t>태국</t>
    <phoneticPr fontId="23" type="noConversion"/>
  </si>
  <si>
    <t>우즈베키스탄</t>
    <phoneticPr fontId="23" type="noConversion"/>
  </si>
  <si>
    <t>타슈켄트</t>
    <phoneticPr fontId="23" type="noConversion"/>
  </si>
  <si>
    <t>터키</t>
    <phoneticPr fontId="23" type="noConversion"/>
  </si>
  <si>
    <t>오세아니아</t>
    <phoneticPr fontId="23" type="noConversion"/>
  </si>
  <si>
    <t>오스트레일리아</t>
    <phoneticPr fontId="23" type="noConversion"/>
  </si>
  <si>
    <t>멜버른</t>
    <phoneticPr fontId="23" type="noConversion"/>
  </si>
  <si>
    <t>시드니</t>
    <phoneticPr fontId="23" type="noConversion"/>
  </si>
  <si>
    <t>도미니카공화국</t>
    <phoneticPr fontId="23" type="noConversion"/>
  </si>
  <si>
    <t>칠레</t>
    <phoneticPr fontId="23" type="noConversion"/>
  </si>
  <si>
    <t>파나마</t>
    <phoneticPr fontId="23" type="noConversion"/>
  </si>
  <si>
    <t>루마니아</t>
    <phoneticPr fontId="23" type="noConversion"/>
  </si>
  <si>
    <t>불가리아</t>
    <phoneticPr fontId="23" type="noConversion"/>
  </si>
  <si>
    <t>세르비아</t>
    <phoneticPr fontId="23" type="noConversion"/>
  </si>
  <si>
    <t>베오그라드</t>
    <phoneticPr fontId="23" type="noConversion"/>
  </si>
  <si>
    <t>슬로바키아</t>
    <phoneticPr fontId="23" type="noConversion"/>
  </si>
  <si>
    <t>브라티슬라바</t>
    <phoneticPr fontId="23" type="noConversion"/>
  </si>
  <si>
    <t>체코</t>
    <phoneticPr fontId="23" type="noConversion"/>
  </si>
  <si>
    <t>폴란드</t>
    <phoneticPr fontId="23" type="noConversion"/>
  </si>
  <si>
    <t>나이지리아</t>
    <phoneticPr fontId="23" type="noConversion"/>
  </si>
  <si>
    <t>모로코</t>
    <phoneticPr fontId="23" type="noConversion"/>
  </si>
  <si>
    <t>모잠비크</t>
    <phoneticPr fontId="23" type="noConversion"/>
  </si>
  <si>
    <t>이라크</t>
    <phoneticPr fontId="23" type="noConversion"/>
  </si>
  <si>
    <t>요르단</t>
    <phoneticPr fontId="23" type="noConversion"/>
  </si>
  <si>
    <t>카메룬</t>
    <phoneticPr fontId="23" type="noConversion"/>
  </si>
  <si>
    <t>케냐</t>
    <phoneticPr fontId="23" type="noConversion"/>
  </si>
  <si>
    <t>탄자니아</t>
    <phoneticPr fontId="23" type="noConversion"/>
  </si>
  <si>
    <t>미얀마</t>
    <phoneticPr fontId="23" type="noConversion"/>
  </si>
  <si>
    <t>베트남</t>
    <phoneticPr fontId="23" type="noConversion"/>
  </si>
  <si>
    <t>캄보디아</t>
    <phoneticPr fontId="23" type="noConversion"/>
  </si>
  <si>
    <t>필리핀</t>
    <phoneticPr fontId="23" type="noConversion"/>
  </si>
  <si>
    <t>마닐라</t>
    <phoneticPr fontId="23" type="noConversion"/>
  </si>
  <si>
    <t>과테말라</t>
    <phoneticPr fontId="23" type="noConversion"/>
  </si>
  <si>
    <t>페루</t>
    <phoneticPr fontId="23" type="noConversion"/>
  </si>
  <si>
    <t>크로아티아</t>
    <phoneticPr fontId="23" type="noConversion"/>
  </si>
  <si>
    <t>이란</t>
    <phoneticPr fontId="23" type="noConversion"/>
  </si>
  <si>
    <t>프랑스</t>
    <phoneticPr fontId="23" type="noConversion"/>
  </si>
  <si>
    <t>싱가포르</t>
    <phoneticPr fontId="23" type="noConversion"/>
  </si>
  <si>
    <t>대만</t>
    <phoneticPr fontId="23" type="noConversion"/>
  </si>
  <si>
    <t>아메리카</t>
    <phoneticPr fontId="23" type="noConversion"/>
  </si>
  <si>
    <t>아메리카</t>
    <phoneticPr fontId="23" type="noConversion"/>
  </si>
  <si>
    <t>아시아</t>
    <phoneticPr fontId="23" type="noConversion"/>
  </si>
  <si>
    <t>아시아</t>
    <phoneticPr fontId="23" type="noConversion"/>
  </si>
  <si>
    <t>유럽주</t>
    <phoneticPr fontId="23" type="noConversion"/>
  </si>
  <si>
    <t>유럽주</t>
    <phoneticPr fontId="23" type="noConversion"/>
  </si>
  <si>
    <t>유럽주</t>
    <phoneticPr fontId="23" type="noConversion"/>
  </si>
  <si>
    <t xml:space="preserve"> - 해외마케팅·홍보</t>
    <phoneticPr fontId="23" type="noConversion"/>
  </si>
  <si>
    <t xml:space="preserve"> - 바이어발굴 및 매칭 ·수출컨설팅</t>
    <phoneticPr fontId="23" type="noConversion"/>
  </si>
  <si>
    <t>바이어발굴 및 매칭·수출컨설팅</t>
    <phoneticPr fontId="23" type="noConversion"/>
  </si>
  <si>
    <t>3단계 상담일수</t>
    <phoneticPr fontId="23" type="noConversion"/>
  </si>
  <si>
    <t xml:space="preserve"> - 샘플발송비</t>
    <phoneticPr fontId="23" type="noConversion"/>
  </si>
  <si>
    <t>통역원수</t>
    <phoneticPr fontId="23" type="noConversion"/>
  </si>
  <si>
    <t>ㅇ부스임차료(70%)</t>
    <phoneticPr fontId="23" type="noConversion"/>
  </si>
  <si>
    <t>ㅇ등록비(70%)</t>
    <phoneticPr fontId="23" type="noConversion"/>
  </si>
  <si>
    <t>영국£</t>
    <phoneticPr fontId="23" type="noConversion"/>
  </si>
  <si>
    <t>싱가폴$</t>
    <phoneticPr fontId="23" type="noConversion"/>
  </si>
  <si>
    <t>등록비(0.7)</t>
    <phoneticPr fontId="23" type="noConversion"/>
  </si>
  <si>
    <t>임차료(0.7)</t>
    <phoneticPr fontId="23" type="noConversion"/>
  </si>
  <si>
    <r>
      <t xml:space="preserve">2022 + 국가명 + 도시명 + 품목 + 전시회명 + 수출컨소시엄 순으로 제목 기재
</t>
    </r>
    <r>
      <rPr>
        <b/>
        <sz val="15"/>
        <color indexed="10"/>
        <rFont val="굴림"/>
        <family val="3"/>
        <charset val="129"/>
      </rPr>
      <t>ex) 2022 중국 홍콩 소비재 메가쇼 수출컨소시엄</t>
    </r>
    <phoneticPr fontId="23" type="noConversion"/>
  </si>
  <si>
    <t>* 문의처 : 중소기업중앙회 무역촉진부 신자은 차장, 임선우 차장, 소재민 차장, 김원일 과장, 김예민 과장 (02-2124-3291~5)</t>
    <phoneticPr fontId="23" type="noConversion"/>
  </si>
  <si>
    <t>(2021 기준)</t>
    <phoneticPr fontId="23" type="noConversion"/>
  </si>
  <si>
    <t>베오그라드</t>
  </si>
  <si>
    <t>브라티슬라바</t>
  </si>
  <si>
    <t>취리히</t>
  </si>
  <si>
    <t>밴쿠버</t>
  </si>
  <si>
    <t>토론토</t>
  </si>
  <si>
    <t>아바나</t>
  </si>
  <si>
    <t>다낭</t>
  </si>
  <si>
    <t>멜버른</t>
  </si>
  <si>
    <t>시드니</t>
  </si>
  <si>
    <t>암다바드</t>
  </si>
  <si>
    <t>콜카타</t>
  </si>
  <si>
    <t>도쿄</t>
  </si>
  <si>
    <t>베이징</t>
  </si>
  <si>
    <t>상하이</t>
  </si>
  <si>
    <t>아비장</t>
  </si>
  <si>
    <t>AUD</t>
  </si>
  <si>
    <t>SGD</t>
  </si>
  <si>
    <t>JPY</t>
  </si>
  <si>
    <t>CNY</t>
  </si>
  <si>
    <t>GBP</t>
  </si>
  <si>
    <t>EUR</t>
  </si>
  <si>
    <t>CHF</t>
  </si>
  <si>
    <t>CAD</t>
  </si>
  <si>
    <t>통역원(일)</t>
    <phoneticPr fontId="23" type="noConversion"/>
  </si>
  <si>
    <t>비고(무역관 없는 지역은 가장 가까운 무역관 단가 적용)</t>
    <phoneticPr fontId="23" type="noConversion"/>
  </si>
  <si>
    <t>밀라노</t>
    <phoneticPr fontId="23" type="noConversion"/>
  </si>
  <si>
    <t>아부다비</t>
    <phoneticPr fontId="23" type="noConversion"/>
  </si>
  <si>
    <t>두바이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</si>
</sst>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-* #,##0_-;\-* #,##0_-;_-* &quot;-&quot;_-;_-@_-"/>
    <numFmt numFmtId="43" formatCode="_-* #,##0.00_-;\-* #,##0.00_-;_-* &quot;-&quot;??_-;_-@_-"/>
    <numFmt numFmtId="176" formatCode="#,##0_);[Red]\(#,##0\)"/>
    <numFmt numFmtId="177" formatCode="#,##0.00_);[Red]\(#,##0.00\)"/>
    <numFmt numFmtId="178" formatCode="0.0%"/>
    <numFmt numFmtId="179" formatCode="#,##0_ "/>
    <numFmt numFmtId="180" formatCode="#,##0.00_ "/>
    <numFmt numFmtId="181" formatCode="#,##0.0_ "/>
    <numFmt numFmtId="182" formatCode="_-* #,##0.0_-;\-* #,##0.0_-;_-* &quot;-&quot;??_-;_-@_-"/>
    <numFmt numFmtId="183" formatCode="_-* #,##0.0_-;\-* #,##0.0_-;_-* &quot;-&quot;?_-;_-@_-"/>
    <numFmt numFmtId="184" formatCode="#&quot;일&quot;"/>
    <numFmt numFmtId="185" formatCode="#&quot;명&quot;"/>
    <numFmt numFmtId="186" formatCode="#&quot;㎡&quot;"/>
    <numFmt numFmtId="187" formatCode="0_);[Red]\(0\)"/>
    <numFmt numFmtId="188" formatCode="&quot;(&quot;#&quot;일간)&quot;"/>
    <numFmt numFmtId="189" formatCode="#,##0.0_);[Red]\(#,##0.0\)"/>
  </numFmts>
  <fonts count="5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name val="돋움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돋움"/>
      <family val="3"/>
      <charset val="129"/>
    </font>
    <font>
      <b/>
      <sz val="18"/>
      <name val="굴림"/>
      <family val="3"/>
      <charset val="129"/>
    </font>
    <font>
      <sz val="11"/>
      <name val="굴림"/>
      <family val="3"/>
      <charset val="129"/>
    </font>
    <font>
      <b/>
      <sz val="11"/>
      <name val="굴림"/>
      <family val="3"/>
      <charset val="129"/>
    </font>
    <font>
      <sz val="9"/>
      <name val="굴림"/>
      <family val="3"/>
      <charset val="129"/>
    </font>
    <font>
      <sz val="10"/>
      <name val="맑은 고딕"/>
      <family val="3"/>
      <charset val="129"/>
    </font>
    <font>
      <b/>
      <sz val="12"/>
      <name val="굴림"/>
      <family val="3"/>
      <charset val="129"/>
    </font>
    <font>
      <sz val="12"/>
      <name val="굴림"/>
      <family val="3"/>
      <charset val="129"/>
    </font>
    <font>
      <sz val="10"/>
      <name val="굴림"/>
      <family val="3"/>
      <charset val="129"/>
    </font>
    <font>
      <b/>
      <sz val="9"/>
      <color indexed="81"/>
      <name val="굴림"/>
      <family val="3"/>
      <charset val="129"/>
    </font>
    <font>
      <b/>
      <sz val="10"/>
      <name val="굴림"/>
      <family val="3"/>
      <charset val="129"/>
    </font>
    <font>
      <b/>
      <sz val="15"/>
      <color indexed="10"/>
      <name val="굴림"/>
      <family val="3"/>
      <charset val="129"/>
    </font>
    <font>
      <b/>
      <u/>
      <sz val="12"/>
      <color rgb="FFFF0000"/>
      <name val="굴림"/>
      <family val="3"/>
      <charset val="129"/>
    </font>
    <font>
      <sz val="11"/>
      <color rgb="FFFF0000"/>
      <name val="굴림"/>
      <family val="3"/>
      <charset val="129"/>
    </font>
    <font>
      <sz val="12"/>
      <color rgb="FFFF0000"/>
      <name val="굴림"/>
      <family val="3"/>
      <charset val="129"/>
    </font>
    <font>
      <sz val="10"/>
      <color rgb="FFFF0000"/>
      <name val="굴림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11"/>
      <color theme="1"/>
      <name val="굴림"/>
      <family val="3"/>
      <charset val="129"/>
    </font>
    <font>
      <b/>
      <sz val="18"/>
      <color rgb="FFFF0000"/>
      <name val="굴림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9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color rgb="FFFF0000"/>
      <name val="맑은 고딕"/>
      <family val="3"/>
      <charset val="129"/>
    </font>
    <font>
      <sz val="9"/>
      <color rgb="FF353535"/>
      <name val="Arial"/>
      <family val="2"/>
    </font>
    <font>
      <sz val="9"/>
      <color indexed="81"/>
      <name val="Tahoma"/>
      <family val="2"/>
    </font>
    <font>
      <sz val="12"/>
      <color indexed="81"/>
      <name val="돋움"/>
      <family val="3"/>
      <charset val="129"/>
    </font>
    <font>
      <sz val="12"/>
      <color indexed="81"/>
      <name val="Tahoma"/>
      <family val="2"/>
    </font>
    <font>
      <sz val="9"/>
      <name val="돋움"/>
      <family val="3"/>
      <charset val="129"/>
    </font>
    <font>
      <sz val="9"/>
      <name val="맑은 고딕"/>
      <family val="3"/>
      <charset val="129"/>
      <scheme val="major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7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1" borderId="2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3" borderId="3" applyNumberForma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7" borderId="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10" fillId="0" borderId="0"/>
    <xf numFmtId="0" fontId="10" fillId="0" borderId="0"/>
    <xf numFmtId="0" fontId="4" fillId="0" borderId="0">
      <alignment vertical="center"/>
    </xf>
    <xf numFmtId="9" fontId="10" fillId="0" borderId="0" applyFont="0" applyFill="0" applyBorder="0" applyAlignment="0" applyProtection="0">
      <alignment vertical="center"/>
    </xf>
  </cellStyleXfs>
  <cellXfs count="316">
    <xf numFmtId="0" fontId="0" fillId="0" borderId="0" xfId="0">
      <alignment vertical="center"/>
    </xf>
    <xf numFmtId="0" fontId="25" fillId="24" borderId="0" xfId="44" applyFont="1" applyFill="1" applyAlignment="1">
      <alignment vertical="center"/>
    </xf>
    <xf numFmtId="0" fontId="25" fillId="24" borderId="0" xfId="43" applyFont="1" applyFill="1" applyBorder="1" applyAlignment="1">
      <alignment horizontal="left" vertical="center"/>
    </xf>
    <xf numFmtId="0" fontId="25" fillId="24" borderId="0" xfId="43" applyFont="1" applyFill="1" applyBorder="1" applyAlignment="1">
      <alignment vertical="center"/>
    </xf>
    <xf numFmtId="0" fontId="25" fillId="24" borderId="10" xfId="43" applyFont="1" applyFill="1" applyBorder="1" applyAlignment="1">
      <alignment horizontal="center" vertical="center"/>
    </xf>
    <xf numFmtId="0" fontId="26" fillId="24" borderId="11" xfId="43" applyFont="1" applyFill="1" applyBorder="1" applyAlignment="1">
      <alignment horizontal="center" vertical="center" wrapText="1"/>
    </xf>
    <xf numFmtId="41" fontId="26" fillId="24" borderId="12" xfId="32" applyFont="1" applyFill="1" applyBorder="1" applyAlignment="1">
      <alignment horizontal="center" vertical="center" wrapText="1"/>
    </xf>
    <xf numFmtId="41" fontId="25" fillId="24" borderId="13" xfId="32" applyFont="1" applyFill="1" applyBorder="1" applyAlignment="1">
      <alignment horizontal="left" vertical="center" wrapText="1"/>
    </xf>
    <xf numFmtId="41" fontId="25" fillId="24" borderId="14" xfId="32" applyFont="1" applyFill="1" applyBorder="1" applyAlignment="1">
      <alignment horizontal="left" vertical="center" wrapText="1"/>
    </xf>
    <xf numFmtId="41" fontId="25" fillId="24" borderId="15" xfId="32" applyFont="1" applyFill="1" applyBorder="1" applyAlignment="1">
      <alignment horizontal="left" vertical="center" wrapText="1"/>
    </xf>
    <xf numFmtId="41" fontId="25" fillId="24" borderId="16" xfId="32" applyFont="1" applyFill="1" applyBorder="1" applyAlignment="1">
      <alignment horizontal="left" vertical="center" wrapText="1"/>
    </xf>
    <xf numFmtId="41" fontId="26" fillId="24" borderId="13" xfId="32" applyFont="1" applyFill="1" applyBorder="1" applyAlignment="1">
      <alignment horizontal="left" vertical="center" wrapText="1"/>
    </xf>
    <xf numFmtId="41" fontId="26" fillId="24" borderId="17" xfId="32" applyFont="1" applyFill="1" applyBorder="1" applyAlignment="1">
      <alignment horizontal="left" vertical="center" wrapText="1"/>
    </xf>
    <xf numFmtId="41" fontId="25" fillId="24" borderId="18" xfId="32" applyFont="1" applyFill="1" applyBorder="1" applyAlignment="1">
      <alignment horizontal="left" vertical="center" wrapText="1"/>
    </xf>
    <xf numFmtId="0" fontId="25" fillId="24" borderId="16" xfId="44" applyFont="1" applyFill="1" applyBorder="1" applyAlignment="1">
      <alignment vertical="center"/>
    </xf>
    <xf numFmtId="41" fontId="25" fillId="24" borderId="19" xfId="32" applyFont="1" applyFill="1" applyBorder="1" applyAlignment="1">
      <alignment horizontal="left" vertical="center" wrapText="1"/>
    </xf>
    <xf numFmtId="41" fontId="25" fillId="24" borderId="15" xfId="32" applyFont="1" applyFill="1" applyBorder="1" applyAlignment="1">
      <alignment horizontal="right" vertical="center" wrapText="1"/>
    </xf>
    <xf numFmtId="41" fontId="25" fillId="24" borderId="17" xfId="32" applyFont="1" applyFill="1" applyBorder="1" applyAlignment="1">
      <alignment horizontal="left" vertical="center" wrapText="1"/>
    </xf>
    <xf numFmtId="41" fontId="25" fillId="24" borderId="20" xfId="32" applyFont="1" applyFill="1" applyBorder="1" applyAlignment="1">
      <alignment horizontal="left" vertical="center" wrapText="1"/>
    </xf>
    <xf numFmtId="41" fontId="25" fillId="24" borderId="21" xfId="32" applyFont="1" applyFill="1" applyBorder="1" applyAlignment="1">
      <alignment horizontal="left" vertical="center" wrapText="1"/>
    </xf>
    <xf numFmtId="41" fontId="25" fillId="24" borderId="22" xfId="32" applyFont="1" applyFill="1" applyBorder="1" applyAlignment="1">
      <alignment horizontal="left" vertical="center" wrapText="1"/>
    </xf>
    <xf numFmtId="41" fontId="25" fillId="24" borderId="14" xfId="32" quotePrefix="1" applyFont="1" applyFill="1" applyBorder="1" applyAlignment="1">
      <alignment horizontal="left" vertical="center" wrapText="1"/>
    </xf>
    <xf numFmtId="41" fontId="25" fillId="24" borderId="15" xfId="32" quotePrefix="1" applyFont="1" applyFill="1" applyBorder="1" applyAlignment="1">
      <alignment horizontal="left" vertical="center" wrapText="1"/>
    </xf>
    <xf numFmtId="0" fontId="25" fillId="24" borderId="0" xfId="44" applyFont="1" applyFill="1" applyAlignment="1">
      <alignment horizontal="left" vertical="center"/>
    </xf>
    <xf numFmtId="0" fontId="24" fillId="24" borderId="10" xfId="43" applyFont="1" applyFill="1" applyBorder="1" applyAlignment="1">
      <alignment horizontal="center" vertical="center"/>
    </xf>
    <xf numFmtId="0" fontId="24" fillId="24" borderId="0" xfId="43" applyFont="1" applyFill="1" applyBorder="1" applyAlignment="1">
      <alignment horizontal="center" vertical="center"/>
    </xf>
    <xf numFmtId="0" fontId="29" fillId="24" borderId="25" xfId="43" applyFont="1" applyFill="1" applyBorder="1" applyAlignment="1">
      <alignment horizontal="center" vertical="center"/>
    </xf>
    <xf numFmtId="0" fontId="29" fillId="24" borderId="26" xfId="43" applyFont="1" applyFill="1" applyBorder="1" applyAlignment="1">
      <alignment horizontal="center" vertical="center"/>
    </xf>
    <xf numFmtId="41" fontId="25" fillId="0" borderId="26" xfId="32" applyFont="1" applyFill="1" applyBorder="1" applyAlignment="1">
      <alignment horizontal="center" vertical="center" wrapText="1"/>
    </xf>
    <xf numFmtId="0" fontId="25" fillId="0" borderId="16" xfId="32" applyNumberFormat="1" applyFont="1" applyFill="1" applyBorder="1" applyAlignment="1">
      <alignment horizontal="center" vertical="center" wrapText="1"/>
    </xf>
    <xf numFmtId="184" fontId="25" fillId="0" borderId="15" xfId="32" applyNumberFormat="1" applyFont="1" applyFill="1" applyBorder="1" applyAlignment="1">
      <alignment horizontal="center" vertical="center" wrapText="1"/>
    </xf>
    <xf numFmtId="0" fontId="31" fillId="24" borderId="0" xfId="44" applyFont="1" applyFill="1" applyAlignment="1">
      <alignment vertical="center"/>
    </xf>
    <xf numFmtId="0" fontId="35" fillId="24" borderId="0" xfId="44" applyFont="1" applyFill="1" applyAlignment="1">
      <alignment vertical="center"/>
    </xf>
    <xf numFmtId="0" fontId="36" fillId="24" borderId="0" xfId="44" applyFont="1" applyFill="1" applyAlignment="1">
      <alignment vertical="center"/>
    </xf>
    <xf numFmtId="14" fontId="37" fillId="28" borderId="25" xfId="43" applyNumberFormat="1" applyFont="1" applyFill="1" applyBorder="1" applyAlignment="1">
      <alignment horizontal="center" vertical="center"/>
    </xf>
    <xf numFmtId="14" fontId="37" fillId="28" borderId="26" xfId="43" applyNumberFormat="1" applyFont="1" applyFill="1" applyBorder="1" applyAlignment="1">
      <alignment horizontal="center" vertical="center"/>
    </xf>
    <xf numFmtId="0" fontId="37" fillId="28" borderId="15" xfId="43" applyFont="1" applyFill="1" applyBorder="1" applyAlignment="1">
      <alignment horizontal="center" vertical="center"/>
    </xf>
    <xf numFmtId="41" fontId="25" fillId="24" borderId="28" xfId="32" quotePrefix="1" applyFont="1" applyFill="1" applyBorder="1" applyAlignment="1">
      <alignment horizontal="left" vertical="center" wrapText="1"/>
    </xf>
    <xf numFmtId="41" fontId="26" fillId="24" borderId="23" xfId="32" applyFont="1" applyFill="1" applyBorder="1" applyAlignment="1">
      <alignment horizontal="left" vertical="center" wrapText="1"/>
    </xf>
    <xf numFmtId="41" fontId="26" fillId="24" borderId="24" xfId="32" applyFont="1" applyFill="1" applyBorder="1" applyAlignment="1">
      <alignment horizontal="left" vertical="center" wrapText="1"/>
    </xf>
    <xf numFmtId="41" fontId="25" fillId="24" borderId="21" xfId="32" applyFont="1" applyFill="1" applyBorder="1" applyAlignment="1">
      <alignment horizontal="left" vertical="center" shrinkToFit="1"/>
    </xf>
    <xf numFmtId="184" fontId="25" fillId="0" borderId="22" xfId="32" applyNumberFormat="1" applyFont="1" applyFill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 wrapText="1"/>
    </xf>
    <xf numFmtId="0" fontId="28" fillId="0" borderId="27" xfId="0" applyFont="1" applyFill="1" applyBorder="1">
      <alignment vertical="center"/>
    </xf>
    <xf numFmtId="0" fontId="24" fillId="24" borderId="0" xfId="43" applyFont="1" applyFill="1" applyBorder="1" applyAlignment="1">
      <alignment horizontal="center" vertical="center" shrinkToFit="1"/>
    </xf>
    <xf numFmtId="0" fontId="29" fillId="24" borderId="26" xfId="43" applyFont="1" applyFill="1" applyBorder="1" applyAlignment="1">
      <alignment horizontal="center" vertical="center" shrinkToFit="1"/>
    </xf>
    <xf numFmtId="0" fontId="29" fillId="24" borderId="15" xfId="43" applyFont="1" applyFill="1" applyBorder="1" applyAlignment="1">
      <alignment horizontal="center" vertical="center" shrinkToFit="1"/>
    </xf>
    <xf numFmtId="0" fontId="29" fillId="24" borderId="36" xfId="43" applyFont="1" applyFill="1" applyBorder="1" applyAlignment="1">
      <alignment horizontal="center" vertical="center" shrinkToFit="1"/>
    </xf>
    <xf numFmtId="0" fontId="37" fillId="28" borderId="37" xfId="43" applyFont="1" applyFill="1" applyBorder="1" applyAlignment="1">
      <alignment horizontal="center" vertical="center" shrinkToFit="1"/>
    </xf>
    <xf numFmtId="0" fontId="37" fillId="28" borderId="15" xfId="43" applyFont="1" applyFill="1" applyBorder="1" applyAlignment="1">
      <alignment horizontal="center" vertical="center" shrinkToFit="1"/>
    </xf>
    <xf numFmtId="0" fontId="25" fillId="24" borderId="0" xfId="43" applyFont="1" applyFill="1" applyBorder="1" applyAlignment="1">
      <alignment vertical="center" shrinkToFit="1"/>
    </xf>
    <xf numFmtId="0" fontId="25" fillId="24" borderId="0" xfId="44" applyFont="1" applyFill="1" applyAlignment="1">
      <alignment vertical="center" shrinkToFit="1"/>
    </xf>
    <xf numFmtId="41" fontId="25" fillId="24" borderId="0" xfId="32" applyFont="1" applyFill="1" applyBorder="1" applyAlignment="1">
      <alignment horizontal="right" vertical="center" shrinkToFit="1"/>
    </xf>
    <xf numFmtId="176" fontId="25" fillId="0" borderId="15" xfId="32" applyNumberFormat="1" applyFont="1" applyFill="1" applyBorder="1" applyAlignment="1">
      <alignment horizontal="center" vertical="center" wrapText="1"/>
    </xf>
    <xf numFmtId="177" fontId="25" fillId="0" borderId="15" xfId="32" applyNumberFormat="1" applyFont="1" applyFill="1" applyBorder="1" applyAlignment="1">
      <alignment horizontal="center" vertical="center" wrapText="1"/>
    </xf>
    <xf numFmtId="181" fontId="25" fillId="0" borderId="15" xfId="32" applyNumberFormat="1" applyFont="1" applyFill="1" applyBorder="1" applyAlignment="1">
      <alignment horizontal="center" vertical="center" wrapText="1"/>
    </xf>
    <xf numFmtId="176" fontId="26" fillId="0" borderId="15" xfId="32" applyNumberFormat="1" applyFont="1" applyFill="1" applyBorder="1" applyAlignment="1">
      <alignment horizontal="center" vertical="center" wrapText="1"/>
    </xf>
    <xf numFmtId="176" fontId="26" fillId="24" borderId="15" xfId="32" applyNumberFormat="1" applyFont="1" applyFill="1" applyBorder="1" applyAlignment="1">
      <alignment horizontal="center" vertical="center" wrapText="1"/>
    </xf>
    <xf numFmtId="176" fontId="25" fillId="24" borderId="15" xfId="32" applyNumberFormat="1" applyFont="1" applyFill="1" applyBorder="1" applyAlignment="1">
      <alignment horizontal="center" vertical="center" wrapText="1"/>
    </xf>
    <xf numFmtId="187" fontId="25" fillId="0" borderId="15" xfId="32" applyNumberFormat="1" applyFont="1" applyFill="1" applyBorder="1" applyAlignment="1">
      <alignment horizontal="center" vertical="center" wrapText="1"/>
    </xf>
    <xf numFmtId="178" fontId="36" fillId="28" borderId="22" xfId="32" applyNumberFormat="1" applyFont="1" applyFill="1" applyBorder="1" applyAlignment="1">
      <alignment horizontal="center" vertical="center" wrapText="1"/>
    </xf>
    <xf numFmtId="41" fontId="25" fillId="24" borderId="38" xfId="32" applyFont="1" applyFill="1" applyBorder="1" applyAlignment="1">
      <alignment horizontal="center" vertical="center" wrapText="1"/>
    </xf>
    <xf numFmtId="186" fontId="25" fillId="0" borderId="15" xfId="32" applyNumberFormat="1" applyFont="1" applyFill="1" applyBorder="1" applyAlignment="1">
      <alignment horizontal="center" vertical="center" wrapText="1"/>
    </xf>
    <xf numFmtId="182" fontId="25" fillId="0" borderId="15" xfId="32" applyNumberFormat="1" applyFont="1" applyFill="1" applyBorder="1" applyAlignment="1">
      <alignment horizontal="center" vertical="center" wrapText="1"/>
    </xf>
    <xf numFmtId="41" fontId="25" fillId="0" borderId="15" xfId="32" applyFont="1" applyFill="1" applyBorder="1" applyAlignment="1">
      <alignment horizontal="left" vertical="center" wrapText="1"/>
    </xf>
    <xf numFmtId="41" fontId="25" fillId="0" borderId="29" xfId="32" applyFont="1" applyFill="1" applyBorder="1" applyAlignment="1">
      <alignment horizontal="left" vertical="center" wrapText="1"/>
    </xf>
    <xf numFmtId="179" fontId="41" fillId="30" borderId="22" xfId="32" applyNumberFormat="1" applyFont="1" applyFill="1" applyBorder="1" applyAlignment="1">
      <alignment horizontal="center" vertical="center" wrapText="1"/>
    </xf>
    <xf numFmtId="0" fontId="26" fillId="24" borderId="40" xfId="43" applyFont="1" applyFill="1" applyBorder="1" applyAlignment="1">
      <alignment horizontal="center" vertical="center" shrinkToFit="1"/>
    </xf>
    <xf numFmtId="41" fontId="25" fillId="25" borderId="31" xfId="32" applyFont="1" applyFill="1" applyBorder="1" applyAlignment="1">
      <alignment horizontal="right" vertical="center" shrinkToFit="1"/>
    </xf>
    <xf numFmtId="41" fontId="25" fillId="24" borderId="17" xfId="32" applyFont="1" applyFill="1" applyBorder="1" applyAlignment="1">
      <alignment horizontal="right" vertical="center" shrinkToFit="1"/>
    </xf>
    <xf numFmtId="41" fontId="25" fillId="24" borderId="41" xfId="32" applyFont="1" applyFill="1" applyBorder="1" applyAlignment="1">
      <alignment horizontal="right" vertical="center" shrinkToFit="1"/>
    </xf>
    <xf numFmtId="41" fontId="25" fillId="25" borderId="17" xfId="32" applyFont="1" applyFill="1" applyBorder="1" applyAlignment="1">
      <alignment horizontal="right" vertical="center" shrinkToFit="1"/>
    </xf>
    <xf numFmtId="41" fontId="25" fillId="24" borderId="24" xfId="32" applyFont="1" applyFill="1" applyBorder="1" applyAlignment="1">
      <alignment horizontal="right" vertical="center" shrinkToFit="1"/>
    </xf>
    <xf numFmtId="41" fontId="25" fillId="26" borderId="42" xfId="32" applyFont="1" applyFill="1" applyBorder="1" applyAlignment="1">
      <alignment horizontal="right" vertical="center" shrinkToFit="1"/>
    </xf>
    <xf numFmtId="41" fontId="25" fillId="0" borderId="31" xfId="32" applyFont="1" applyFill="1" applyBorder="1" applyAlignment="1">
      <alignment horizontal="right" vertical="center" shrinkToFit="1"/>
    </xf>
    <xf numFmtId="41" fontId="25" fillId="24" borderId="43" xfId="32" applyFont="1" applyFill="1" applyBorder="1" applyAlignment="1">
      <alignment horizontal="right" vertical="center" shrinkToFit="1"/>
    </xf>
    <xf numFmtId="41" fontId="26" fillId="27" borderId="40" xfId="32" applyFont="1" applyFill="1" applyBorder="1" applyAlignment="1">
      <alignment horizontal="right" vertical="center" shrinkToFit="1"/>
    </xf>
    <xf numFmtId="41" fontId="25" fillId="24" borderId="34" xfId="32" applyFont="1" applyFill="1" applyBorder="1" applyAlignment="1">
      <alignment horizontal="right" vertical="center" shrinkToFit="1"/>
    </xf>
    <xf numFmtId="0" fontId="25" fillId="24" borderId="34" xfId="44" applyFont="1" applyFill="1" applyBorder="1" applyAlignment="1">
      <alignment vertical="center" shrinkToFit="1"/>
    </xf>
    <xf numFmtId="179" fontId="45" fillId="29" borderId="26" xfId="0" applyNumberFormat="1" applyFont="1" applyFill="1" applyBorder="1" applyAlignment="1">
      <alignment horizontal="center" vertical="center" wrapText="1"/>
    </xf>
    <xf numFmtId="179" fontId="46" fillId="30" borderId="26" xfId="0" applyNumberFormat="1" applyFont="1" applyFill="1" applyBorder="1" applyAlignment="1">
      <alignment horizontal="center" vertical="center" wrapText="1"/>
    </xf>
    <xf numFmtId="179" fontId="46" fillId="30" borderId="26" xfId="0" applyNumberFormat="1" applyFont="1" applyFill="1" applyBorder="1" applyAlignment="1">
      <alignment horizontal="right" vertical="center" wrapText="1"/>
    </xf>
    <xf numFmtId="179" fontId="46" fillId="30" borderId="26" xfId="0" applyNumberFormat="1" applyFont="1" applyFill="1" applyBorder="1" applyAlignment="1">
      <alignment horizontal="center" vertical="center" shrinkToFit="1"/>
    </xf>
    <xf numFmtId="41" fontId="25" fillId="24" borderId="58" xfId="32" applyFont="1" applyFill="1" applyBorder="1" applyAlignment="1">
      <alignment horizontal="right" vertical="center" shrinkToFit="1"/>
    </xf>
    <xf numFmtId="41" fontId="25" fillId="24" borderId="14" xfId="32" applyFont="1" applyFill="1" applyBorder="1" applyAlignment="1">
      <alignment vertical="center" shrinkToFit="1"/>
    </xf>
    <xf numFmtId="41" fontId="25" fillId="0" borderId="15" xfId="32" applyFont="1" applyFill="1" applyBorder="1" applyAlignment="1">
      <alignment horizontal="center" vertical="center" wrapText="1"/>
    </xf>
    <xf numFmtId="179" fontId="25" fillId="0" borderId="60" xfId="32" applyNumberFormat="1" applyFont="1" applyFill="1" applyBorder="1" applyAlignment="1">
      <alignment horizontal="center" vertical="center" wrapText="1"/>
    </xf>
    <xf numFmtId="41" fontId="25" fillId="24" borderId="64" xfId="32" applyFont="1" applyFill="1" applyBorder="1" applyAlignment="1">
      <alignment horizontal="right" vertical="center" shrinkToFit="1"/>
    </xf>
    <xf numFmtId="179" fontId="25" fillId="0" borderId="29" xfId="32" applyNumberFormat="1" applyFont="1" applyFill="1" applyBorder="1" applyAlignment="1">
      <alignment horizontal="center" vertical="center" wrapText="1"/>
    </xf>
    <xf numFmtId="0" fontId="26" fillId="24" borderId="12" xfId="43" applyFont="1" applyFill="1" applyBorder="1" applyAlignment="1">
      <alignment horizontal="center" vertical="center" wrapText="1"/>
    </xf>
    <xf numFmtId="41" fontId="25" fillId="24" borderId="47" xfId="32" applyFont="1" applyFill="1" applyBorder="1" applyAlignment="1">
      <alignment horizontal="left" vertical="center" shrinkToFit="1"/>
    </xf>
    <xf numFmtId="41" fontId="25" fillId="24" borderId="64" xfId="32" applyFont="1" applyFill="1" applyBorder="1" applyAlignment="1">
      <alignment horizontal="left" vertical="center" shrinkToFit="1"/>
    </xf>
    <xf numFmtId="0" fontId="26" fillId="24" borderId="13" xfId="43" applyFont="1" applyFill="1" applyBorder="1" applyAlignment="1">
      <alignment horizontal="center" vertical="center" wrapText="1"/>
    </xf>
    <xf numFmtId="41" fontId="25" fillId="26" borderId="57" xfId="32" applyFont="1" applyFill="1" applyBorder="1" applyAlignment="1">
      <alignment horizontal="right" vertical="center" shrinkToFit="1"/>
    </xf>
    <xf numFmtId="41" fontId="25" fillId="24" borderId="14" xfId="32" applyFont="1" applyFill="1" applyBorder="1" applyAlignment="1">
      <alignment horizontal="left" vertical="center" shrinkToFit="1"/>
    </xf>
    <xf numFmtId="41" fontId="25" fillId="24" borderId="13" xfId="32" applyFont="1" applyFill="1" applyBorder="1" applyAlignment="1">
      <alignment horizontal="center" vertical="center" wrapText="1"/>
    </xf>
    <xf numFmtId="41" fontId="25" fillId="24" borderId="10" xfId="32" applyFont="1" applyFill="1" applyBorder="1" applyAlignment="1">
      <alignment horizontal="left" vertical="center" wrapText="1"/>
    </xf>
    <xf numFmtId="185" fontId="36" fillId="28" borderId="39" xfId="32" applyNumberFormat="1" applyFont="1" applyFill="1" applyBorder="1" applyAlignment="1">
      <alignment horizontal="center" vertical="center" wrapText="1"/>
    </xf>
    <xf numFmtId="41" fontId="25" fillId="24" borderId="31" xfId="32" applyFont="1" applyFill="1" applyBorder="1" applyAlignment="1">
      <alignment horizontal="right" vertical="center" shrinkToFit="1"/>
    </xf>
    <xf numFmtId="0" fontId="4" fillId="0" borderId="75" xfId="45" applyBorder="1" applyAlignment="1">
      <alignment horizontal="center" vertical="center"/>
    </xf>
    <xf numFmtId="0" fontId="4" fillId="0" borderId="74" xfId="45" applyBorder="1" applyAlignment="1">
      <alignment horizontal="center" vertical="center"/>
    </xf>
    <xf numFmtId="3" fontId="4" fillId="0" borderId="62" xfId="45" applyNumberFormat="1" applyBorder="1" applyAlignment="1">
      <alignment horizontal="center" vertical="center"/>
    </xf>
    <xf numFmtId="0" fontId="3" fillId="0" borderId="74" xfId="45" applyFont="1" applyBorder="1" applyAlignment="1">
      <alignment horizontal="center" vertical="center"/>
    </xf>
    <xf numFmtId="41" fontId="25" fillId="24" borderId="15" xfId="32" applyFont="1" applyFill="1" applyBorder="1" applyAlignment="1">
      <alignment horizontal="center" vertical="center"/>
    </xf>
    <xf numFmtId="41" fontId="25" fillId="24" borderId="17" xfId="32" applyFont="1" applyFill="1" applyBorder="1" applyAlignment="1">
      <alignment horizontal="center" vertical="center"/>
    </xf>
    <xf numFmtId="41" fontId="25" fillId="24" borderId="16" xfId="32" applyFont="1" applyFill="1" applyBorder="1" applyAlignment="1">
      <alignment horizontal="center" vertical="center"/>
    </xf>
    <xf numFmtId="179" fontId="37" fillId="28" borderId="26" xfId="43" applyNumberFormat="1" applyFont="1" applyFill="1" applyBorder="1" applyAlignment="1">
      <alignment horizontal="center" vertical="center" shrinkToFit="1"/>
    </xf>
    <xf numFmtId="180" fontId="37" fillId="28" borderId="76" xfId="43" applyNumberFormat="1" applyFont="1" applyFill="1" applyBorder="1" applyAlignment="1">
      <alignment horizontal="center" vertical="center"/>
    </xf>
    <xf numFmtId="0" fontId="37" fillId="28" borderId="37" xfId="43" applyFont="1" applyFill="1" applyBorder="1" applyAlignment="1">
      <alignment horizontal="center" vertical="center"/>
    </xf>
    <xf numFmtId="178" fontId="37" fillId="28" borderId="37" xfId="43" applyNumberFormat="1" applyFont="1" applyFill="1" applyBorder="1" applyAlignment="1">
      <alignment horizontal="center" vertical="center" shrinkToFit="1"/>
    </xf>
    <xf numFmtId="0" fontId="29" fillId="24" borderId="78" xfId="43" applyFont="1" applyFill="1" applyBorder="1" applyAlignment="1">
      <alignment horizontal="center" vertical="center"/>
    </xf>
    <xf numFmtId="0" fontId="29" fillId="24" borderId="81" xfId="43" applyFont="1" applyFill="1" applyBorder="1" applyAlignment="1">
      <alignment horizontal="center" vertical="center" shrinkToFit="1"/>
    </xf>
    <xf numFmtId="41" fontId="37" fillId="28" borderId="82" xfId="32" applyFont="1" applyFill="1" applyBorder="1" applyAlignment="1">
      <alignment horizontal="center" vertical="center"/>
    </xf>
    <xf numFmtId="0" fontId="25" fillId="24" borderId="72" xfId="43" applyFont="1" applyFill="1" applyBorder="1" applyAlignment="1">
      <alignment horizontal="center" vertical="center" wrapText="1"/>
    </xf>
    <xf numFmtId="0" fontId="25" fillId="24" borderId="73" xfId="43" applyFont="1" applyFill="1" applyBorder="1" applyAlignment="1">
      <alignment horizontal="center" vertical="center" wrapText="1"/>
    </xf>
    <xf numFmtId="181" fontId="25" fillId="0" borderId="22" xfId="32" applyNumberFormat="1" applyFont="1" applyFill="1" applyBorder="1" applyAlignment="1">
      <alignment horizontal="center" vertical="center" wrapText="1"/>
    </xf>
    <xf numFmtId="0" fontId="48" fillId="0" borderId="0" xfId="0" applyFont="1">
      <alignment vertical="center"/>
    </xf>
    <xf numFmtId="41" fontId="25" fillId="24" borderId="0" xfId="44" applyNumberFormat="1" applyFont="1" applyFill="1" applyAlignment="1">
      <alignment vertical="center"/>
    </xf>
    <xf numFmtId="183" fontId="25" fillId="24" borderId="0" xfId="44" applyNumberFormat="1" applyFont="1" applyFill="1" applyAlignment="1">
      <alignment vertical="center"/>
    </xf>
    <xf numFmtId="43" fontId="25" fillId="24" borderId="0" xfId="44" applyNumberFormat="1" applyFont="1" applyFill="1" applyAlignment="1">
      <alignment vertical="center"/>
    </xf>
    <xf numFmtId="179" fontId="37" fillId="28" borderId="37" xfId="43" applyNumberFormat="1" applyFont="1" applyFill="1" applyBorder="1" applyAlignment="1">
      <alignment horizontal="center" vertical="center" shrinkToFit="1"/>
    </xf>
    <xf numFmtId="0" fontId="29" fillId="24" borderId="78" xfId="43" applyFont="1" applyFill="1" applyBorder="1" applyAlignment="1">
      <alignment horizontal="center" vertical="center" shrinkToFit="1"/>
    </xf>
    <xf numFmtId="14" fontId="25" fillId="24" borderId="0" xfId="44" applyNumberFormat="1" applyFont="1" applyFill="1" applyAlignment="1">
      <alignment vertical="center"/>
    </xf>
    <xf numFmtId="0" fontId="25" fillId="0" borderId="60" xfId="32" applyNumberFormat="1" applyFont="1" applyFill="1" applyBorder="1" applyAlignment="1">
      <alignment horizontal="center" vertical="center" wrapText="1"/>
    </xf>
    <xf numFmtId="41" fontId="25" fillId="24" borderId="23" xfId="32" applyFont="1" applyFill="1" applyBorder="1" applyAlignment="1">
      <alignment horizontal="center" vertical="center" wrapText="1"/>
    </xf>
    <xf numFmtId="41" fontId="25" fillId="24" borderId="16" xfId="32" applyFont="1" applyFill="1" applyBorder="1" applyAlignment="1">
      <alignment horizontal="center" vertical="center" wrapText="1"/>
    </xf>
    <xf numFmtId="41" fontId="25" fillId="24" borderId="17" xfId="32" applyFont="1" applyFill="1" applyBorder="1" applyAlignment="1">
      <alignment horizontal="center" vertical="center" wrapText="1"/>
    </xf>
    <xf numFmtId="180" fontId="37" fillId="28" borderId="37" xfId="43" applyNumberFormat="1" applyFont="1" applyFill="1" applyBorder="1" applyAlignment="1">
      <alignment horizontal="center" vertical="center"/>
    </xf>
    <xf numFmtId="41" fontId="25" fillId="24" borderId="15" xfId="32" applyFont="1" applyFill="1" applyBorder="1" applyAlignment="1">
      <alignment horizontal="center" vertical="center" wrapText="1"/>
    </xf>
    <xf numFmtId="0" fontId="29" fillId="24" borderId="15" xfId="43" applyFont="1" applyFill="1" applyBorder="1" applyAlignment="1">
      <alignment horizontal="center" vertical="center"/>
    </xf>
    <xf numFmtId="0" fontId="29" fillId="24" borderId="80" xfId="43" applyFont="1" applyFill="1" applyBorder="1" applyAlignment="1">
      <alignment horizontal="center" vertical="center" shrinkToFit="1"/>
    </xf>
    <xf numFmtId="181" fontId="25" fillId="24" borderId="15" xfId="32" applyNumberFormat="1" applyFont="1" applyFill="1" applyBorder="1" applyAlignment="1">
      <alignment horizontal="center" vertical="center" wrapText="1"/>
    </xf>
    <xf numFmtId="179" fontId="25" fillId="0" borderId="15" xfId="32" applyNumberFormat="1" applyFont="1" applyFill="1" applyBorder="1" applyAlignment="1">
      <alignment horizontal="center" vertical="center" wrapText="1"/>
    </xf>
    <xf numFmtId="41" fontId="26" fillId="24" borderId="14" xfId="32" applyFont="1" applyFill="1" applyBorder="1" applyAlignment="1">
      <alignment horizontal="left" vertical="center" wrapText="1"/>
    </xf>
    <xf numFmtId="41" fontId="26" fillId="24" borderId="16" xfId="32" applyFont="1" applyFill="1" applyBorder="1" applyAlignment="1">
      <alignment horizontal="left" vertical="center" wrapText="1"/>
    </xf>
    <xf numFmtId="41" fontId="31" fillId="24" borderId="35" xfId="32" applyFont="1" applyFill="1" applyBorder="1" applyAlignment="1">
      <alignment horizontal="left" vertical="center" wrapText="1"/>
    </xf>
    <xf numFmtId="41" fontId="25" fillId="24" borderId="61" xfId="32" applyFont="1" applyFill="1" applyBorder="1" applyAlignment="1">
      <alignment horizontal="center" vertical="center" wrapText="1"/>
    </xf>
    <xf numFmtId="0" fontId="26" fillId="24" borderId="27" xfId="43" applyFont="1" applyFill="1" applyBorder="1" applyAlignment="1">
      <alignment horizontal="center" vertical="center" shrinkToFit="1"/>
    </xf>
    <xf numFmtId="0" fontId="29" fillId="24" borderId="62" xfId="43" applyFont="1" applyFill="1" applyBorder="1" applyAlignment="1">
      <alignment horizontal="center" vertical="center" shrinkToFit="1"/>
    </xf>
    <xf numFmtId="0" fontId="37" fillId="28" borderId="82" xfId="43" applyFont="1" applyFill="1" applyBorder="1" applyAlignment="1">
      <alignment horizontal="center" vertical="center"/>
    </xf>
    <xf numFmtId="41" fontId="37" fillId="28" borderId="82" xfId="32" applyFont="1" applyFill="1" applyBorder="1" applyAlignment="1">
      <alignment horizontal="center" vertical="center" shrinkToFit="1"/>
    </xf>
    <xf numFmtId="41" fontId="37" fillId="28" borderId="85" xfId="32" applyFont="1" applyFill="1" applyBorder="1" applyAlignment="1">
      <alignment horizontal="center" vertical="center" shrinkToFit="1"/>
    </xf>
    <xf numFmtId="41" fontId="37" fillId="28" borderId="92" xfId="32" applyFont="1" applyFill="1" applyBorder="1" applyAlignment="1">
      <alignment horizontal="center" vertical="center" shrinkToFit="1"/>
    </xf>
    <xf numFmtId="0" fontId="29" fillId="24" borderId="88" xfId="43" applyFont="1" applyFill="1" applyBorder="1" applyAlignment="1">
      <alignment horizontal="center" vertical="center" shrinkToFit="1"/>
    </xf>
    <xf numFmtId="0" fontId="37" fillId="28" borderId="26" xfId="43" applyFont="1" applyFill="1" applyBorder="1" applyAlignment="1">
      <alignment horizontal="center" vertical="center" shrinkToFit="1"/>
    </xf>
    <xf numFmtId="0" fontId="29" fillId="24" borderId="17" xfId="43" applyFont="1" applyFill="1" applyBorder="1" applyAlignment="1">
      <alignment horizontal="center" vertical="center" shrinkToFit="1"/>
    </xf>
    <xf numFmtId="0" fontId="25" fillId="24" borderId="43" xfId="43" applyFont="1" applyFill="1" applyBorder="1" applyAlignment="1">
      <alignment vertical="center" shrinkToFit="1"/>
    </xf>
    <xf numFmtId="0" fontId="2" fillId="0" borderId="74" xfId="45" applyFont="1" applyBorder="1" applyAlignment="1">
      <alignment horizontal="center" vertical="center"/>
    </xf>
    <xf numFmtId="0" fontId="26" fillId="24" borderId="49" xfId="43" applyFont="1" applyFill="1" applyBorder="1" applyAlignment="1">
      <alignment horizontal="center" vertical="center" shrinkToFit="1"/>
    </xf>
    <xf numFmtId="41" fontId="25" fillId="26" borderId="93" xfId="32" applyFont="1" applyFill="1" applyBorder="1" applyAlignment="1">
      <alignment horizontal="right" vertical="center" shrinkToFit="1"/>
    </xf>
    <xf numFmtId="41" fontId="25" fillId="24" borderId="94" xfId="32" applyFont="1" applyFill="1" applyBorder="1" applyAlignment="1">
      <alignment horizontal="center" vertical="center" wrapText="1"/>
    </xf>
    <xf numFmtId="41" fontId="25" fillId="24" borderId="61" xfId="32" applyFont="1" applyFill="1" applyBorder="1" applyAlignment="1">
      <alignment horizontal="left" vertical="center" wrapText="1"/>
    </xf>
    <xf numFmtId="41" fontId="25" fillId="24" borderId="61" xfId="32" applyFont="1" applyFill="1" applyBorder="1" applyAlignment="1">
      <alignment horizontal="right" vertical="center" shrinkToFit="1"/>
    </xf>
    <xf numFmtId="41" fontId="25" fillId="24" borderId="68" xfId="43" applyNumberFormat="1" applyFont="1" applyFill="1" applyBorder="1" applyAlignment="1">
      <alignment horizontal="center" vertical="center" shrinkToFit="1"/>
    </xf>
    <xf numFmtId="41" fontId="25" fillId="26" borderId="95" xfId="32" applyFont="1" applyFill="1" applyBorder="1" applyAlignment="1">
      <alignment horizontal="right" vertical="center" shrinkToFit="1"/>
    </xf>
    <xf numFmtId="41" fontId="25" fillId="25" borderId="68" xfId="32" applyFont="1" applyFill="1" applyBorder="1" applyAlignment="1">
      <alignment horizontal="right" vertical="center" shrinkToFit="1"/>
    </xf>
    <xf numFmtId="41" fontId="25" fillId="24" borderId="69" xfId="32" applyFont="1" applyFill="1" applyBorder="1" applyAlignment="1">
      <alignment horizontal="right" vertical="center" shrinkToFit="1"/>
    </xf>
    <xf numFmtId="41" fontId="25" fillId="25" borderId="69" xfId="32" applyFont="1" applyFill="1" applyBorder="1" applyAlignment="1">
      <alignment horizontal="right" vertical="center" shrinkToFit="1"/>
    </xf>
    <xf numFmtId="41" fontId="25" fillId="24" borderId="70" xfId="32" applyFont="1" applyFill="1" applyBorder="1" applyAlignment="1">
      <alignment horizontal="right" vertical="center" shrinkToFit="1"/>
    </xf>
    <xf numFmtId="41" fontId="25" fillId="26" borderId="87" xfId="32" applyFont="1" applyFill="1" applyBorder="1" applyAlignment="1">
      <alignment horizontal="right" vertical="center" shrinkToFit="1"/>
    </xf>
    <xf numFmtId="41" fontId="25" fillId="24" borderId="68" xfId="32" applyFont="1" applyFill="1" applyBorder="1" applyAlignment="1">
      <alignment horizontal="right" vertical="center" shrinkToFit="1"/>
    </xf>
    <xf numFmtId="41" fontId="25" fillId="0" borderId="68" xfId="32" applyFont="1" applyFill="1" applyBorder="1" applyAlignment="1">
      <alignment horizontal="right" vertical="center" shrinkToFit="1"/>
    </xf>
    <xf numFmtId="41" fontId="25" fillId="24" borderId="96" xfId="32" applyFont="1" applyFill="1" applyBorder="1" applyAlignment="1">
      <alignment horizontal="right" vertical="center" shrinkToFit="1"/>
    </xf>
    <xf numFmtId="41" fontId="25" fillId="27" borderId="40" xfId="32" applyFont="1" applyFill="1" applyBorder="1" applyAlignment="1">
      <alignment horizontal="right" vertical="center" shrinkToFit="1"/>
    </xf>
    <xf numFmtId="41" fontId="33" fillId="24" borderId="99" xfId="32" applyFont="1" applyFill="1" applyBorder="1" applyAlignment="1">
      <alignment horizontal="left" vertical="center" wrapText="1"/>
    </xf>
    <xf numFmtId="41" fontId="38" fillId="24" borderId="52" xfId="32" applyFont="1" applyFill="1" applyBorder="1" applyAlignment="1">
      <alignment horizontal="left" vertical="center" wrapText="1"/>
    </xf>
    <xf numFmtId="0" fontId="29" fillId="24" borderId="100" xfId="43" applyFont="1" applyFill="1" applyBorder="1" applyAlignment="1">
      <alignment horizontal="center" vertical="center"/>
    </xf>
    <xf numFmtId="0" fontId="38" fillId="24" borderId="80" xfId="44" applyFont="1" applyFill="1" applyBorder="1" applyAlignment="1">
      <alignment vertical="center"/>
    </xf>
    <xf numFmtId="0" fontId="30" fillId="24" borderId="80" xfId="43" applyFont="1" applyFill="1" applyBorder="1" applyAlignment="1">
      <alignment horizontal="left" vertical="center" shrinkToFit="1"/>
    </xf>
    <xf numFmtId="0" fontId="25" fillId="24" borderId="80" xfId="44" applyFont="1" applyFill="1" applyBorder="1" applyAlignment="1">
      <alignment vertical="center" shrinkToFit="1"/>
    </xf>
    <xf numFmtId="0" fontId="25" fillId="24" borderId="101" xfId="44" applyFont="1" applyFill="1" applyBorder="1" applyAlignment="1">
      <alignment vertical="center" shrinkToFit="1"/>
    </xf>
    <xf numFmtId="0" fontId="29" fillId="24" borderId="85" xfId="43" applyFont="1" applyFill="1" applyBorder="1" applyAlignment="1">
      <alignment horizontal="center" vertical="center" shrinkToFit="1"/>
    </xf>
    <xf numFmtId="189" fontId="25" fillId="24" borderId="22" xfId="32" applyNumberFormat="1" applyFont="1" applyFill="1" applyBorder="1" applyAlignment="1">
      <alignment horizontal="center" vertical="center" wrapText="1"/>
    </xf>
    <xf numFmtId="9" fontId="25" fillId="24" borderId="15" xfId="46" applyFont="1" applyFill="1" applyBorder="1" applyAlignment="1">
      <alignment horizontal="center" vertical="center" wrapText="1"/>
    </xf>
    <xf numFmtId="41" fontId="25" fillId="24" borderId="65" xfId="43" applyNumberFormat="1" applyFont="1" applyFill="1" applyBorder="1" applyAlignment="1">
      <alignment horizontal="center" vertical="center" shrinkToFit="1"/>
    </xf>
    <xf numFmtId="41" fontId="25" fillId="26" borderId="40" xfId="32" applyFont="1" applyFill="1" applyBorder="1" applyAlignment="1">
      <alignment horizontal="right" vertical="center" shrinkToFit="1"/>
    </xf>
    <xf numFmtId="41" fontId="25" fillId="24" borderId="59" xfId="32" applyFont="1" applyFill="1" applyBorder="1" applyAlignment="1">
      <alignment horizontal="right" vertical="center" shrinkToFit="1"/>
    </xf>
    <xf numFmtId="41" fontId="25" fillId="25" borderId="59" xfId="32" applyFont="1" applyFill="1" applyBorder="1" applyAlignment="1">
      <alignment horizontal="right" vertical="center" shrinkToFit="1"/>
    </xf>
    <xf numFmtId="41" fontId="25" fillId="24" borderId="65" xfId="32" applyFont="1" applyFill="1" applyBorder="1" applyAlignment="1">
      <alignment horizontal="right" vertical="center" shrinkToFit="1"/>
    </xf>
    <xf numFmtId="41" fontId="25" fillId="26" borderId="71" xfId="32" applyFont="1" applyFill="1" applyBorder="1" applyAlignment="1">
      <alignment horizontal="right" vertical="center" shrinkToFit="1"/>
    </xf>
    <xf numFmtId="41" fontId="25" fillId="24" borderId="102" xfId="32" applyFont="1" applyFill="1" applyBorder="1" applyAlignment="1">
      <alignment horizontal="right" vertical="center" shrinkToFit="1"/>
    </xf>
    <xf numFmtId="41" fontId="25" fillId="24" borderId="72" xfId="43" applyNumberFormat="1" applyFont="1" applyFill="1" applyBorder="1" applyAlignment="1">
      <alignment horizontal="center" vertical="center" shrinkToFit="1"/>
    </xf>
    <xf numFmtId="41" fontId="25" fillId="24" borderId="73" xfId="43" applyNumberFormat="1" applyFont="1" applyFill="1" applyBorder="1" applyAlignment="1">
      <alignment horizontal="center" vertical="center" shrinkToFit="1"/>
    </xf>
    <xf numFmtId="41" fontId="25" fillId="25" borderId="72" xfId="32" applyFont="1" applyFill="1" applyBorder="1" applyAlignment="1">
      <alignment horizontal="right" vertical="center" shrinkToFit="1"/>
    </xf>
    <xf numFmtId="41" fontId="25" fillId="24" borderId="72" xfId="32" applyFont="1" applyFill="1" applyBorder="1" applyAlignment="1">
      <alignment horizontal="right" vertical="center" shrinkToFit="1"/>
    </xf>
    <xf numFmtId="41" fontId="25" fillId="0" borderId="72" xfId="32" applyFont="1" applyFill="1" applyBorder="1" applyAlignment="1">
      <alignment horizontal="right" vertical="center" shrinkToFit="1"/>
    </xf>
    <xf numFmtId="41" fontId="25" fillId="24" borderId="103" xfId="32" applyFont="1" applyFill="1" applyBorder="1" applyAlignment="1">
      <alignment horizontal="right" vertical="center" shrinkToFit="1"/>
    </xf>
    <xf numFmtId="41" fontId="25" fillId="27" borderId="27" xfId="32" applyFont="1" applyFill="1" applyBorder="1" applyAlignment="1">
      <alignment horizontal="right" vertical="center" shrinkToFit="1"/>
    </xf>
    <xf numFmtId="179" fontId="0" fillId="0" borderId="0" xfId="0" applyNumberFormat="1">
      <alignment vertical="center"/>
    </xf>
    <xf numFmtId="179" fontId="0" fillId="32" borderId="104" xfId="0" applyNumberFormat="1" applyFill="1" applyBorder="1" applyAlignment="1">
      <alignment horizontal="center" vertical="center"/>
    </xf>
    <xf numFmtId="179" fontId="0" fillId="32" borderId="105" xfId="0" applyNumberFormat="1" applyFill="1" applyBorder="1" applyAlignment="1">
      <alignment horizontal="center" vertical="center"/>
    </xf>
    <xf numFmtId="179" fontId="0" fillId="32" borderId="106" xfId="0" applyNumberFormat="1" applyFill="1" applyBorder="1" applyAlignment="1">
      <alignment horizontal="center" vertical="center"/>
    </xf>
    <xf numFmtId="179" fontId="46" fillId="30" borderId="26" xfId="0" quotePrefix="1" applyNumberFormat="1" applyFont="1" applyFill="1" applyBorder="1" applyAlignment="1">
      <alignment horizontal="center" vertical="center" wrapText="1"/>
    </xf>
    <xf numFmtId="179" fontId="46" fillId="33" borderId="26" xfId="0" applyNumberFormat="1" applyFont="1" applyFill="1" applyBorder="1" applyAlignment="1">
      <alignment horizontal="center" vertical="center" wrapText="1"/>
    </xf>
    <xf numFmtId="179" fontId="0" fillId="28" borderId="107" xfId="0" applyNumberFormat="1" applyFill="1" applyBorder="1" applyAlignment="1">
      <alignment horizontal="center" vertical="center"/>
    </xf>
    <xf numFmtId="179" fontId="0" fillId="0" borderId="27" xfId="0" applyNumberFormat="1" applyBorder="1" applyAlignment="1">
      <alignment horizontal="center" vertical="center"/>
    </xf>
    <xf numFmtId="179" fontId="0" fillId="0" borderId="108" xfId="0" applyNumberFormat="1" applyBorder="1" applyAlignment="1">
      <alignment horizontal="center" vertical="center"/>
    </xf>
    <xf numFmtId="179" fontId="0" fillId="28" borderId="109" xfId="0" applyNumberFormat="1" applyFill="1" applyBorder="1" applyAlignment="1">
      <alignment horizontal="center" vertical="center"/>
    </xf>
    <xf numFmtId="179" fontId="0" fillId="0" borderId="110" xfId="0" applyNumberFormat="1" applyBorder="1" applyAlignment="1">
      <alignment horizontal="center" vertical="center"/>
    </xf>
    <xf numFmtId="179" fontId="0" fillId="0" borderId="111" xfId="0" applyNumberFormat="1" applyBorder="1" applyAlignment="1">
      <alignment horizontal="center" vertical="center"/>
    </xf>
    <xf numFmtId="179" fontId="46" fillId="34" borderId="26" xfId="0" applyNumberFormat="1" applyFont="1" applyFill="1" applyBorder="1" applyAlignment="1">
      <alignment horizontal="center" vertical="center" wrapText="1"/>
    </xf>
    <xf numFmtId="179" fontId="46" fillId="35" borderId="26" xfId="0" applyNumberFormat="1" applyFont="1" applyFill="1" applyBorder="1" applyAlignment="1">
      <alignment horizontal="center" vertical="center" wrapText="1"/>
    </xf>
    <xf numFmtId="179" fontId="46" fillId="36" borderId="26" xfId="0" applyNumberFormat="1" applyFont="1" applyFill="1" applyBorder="1" applyAlignment="1">
      <alignment horizontal="center" vertical="center" wrapText="1"/>
    </xf>
    <xf numFmtId="179" fontId="28" fillId="0" borderId="0" xfId="0" applyNumberFormat="1" applyFont="1" applyFill="1">
      <alignment vertical="center"/>
    </xf>
    <xf numFmtId="179" fontId="37" fillId="28" borderId="29" xfId="43" applyNumberFormat="1" applyFont="1" applyFill="1" applyBorder="1" applyAlignment="1">
      <alignment horizontal="center" vertical="center" shrinkToFit="1"/>
    </xf>
    <xf numFmtId="0" fontId="29" fillId="28" borderId="114" xfId="43" applyFont="1" applyFill="1" applyBorder="1" applyAlignment="1">
      <alignment horizontal="center" vertical="center" shrinkToFit="1"/>
    </xf>
    <xf numFmtId="0" fontId="37" fillId="28" borderId="85" xfId="43" applyFont="1" applyFill="1" applyBorder="1" applyAlignment="1">
      <alignment horizontal="center" vertical="center" shrinkToFit="1"/>
    </xf>
    <xf numFmtId="179" fontId="4" fillId="0" borderId="75" xfId="45" applyNumberFormat="1" applyBorder="1" applyAlignment="1">
      <alignment horizontal="center" vertical="center"/>
    </xf>
    <xf numFmtId="0" fontId="52" fillId="0" borderId="0" xfId="0" applyFont="1">
      <alignment vertical="center"/>
    </xf>
    <xf numFmtId="0" fontId="53" fillId="0" borderId="115" xfId="0" applyFont="1" applyBorder="1">
      <alignment vertical="center"/>
    </xf>
    <xf numFmtId="3" fontId="53" fillId="0" borderId="115" xfId="0" applyNumberFormat="1" applyFont="1" applyBorder="1">
      <alignment vertical="center"/>
    </xf>
    <xf numFmtId="0" fontId="53" fillId="0" borderId="115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115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39" fillId="0" borderId="115" xfId="0" applyFont="1" applyBorder="1" applyAlignment="1">
      <alignment horizontal="center" vertical="center"/>
    </xf>
    <xf numFmtId="0" fontId="27" fillId="24" borderId="115" xfId="44" applyFont="1" applyFill="1" applyBorder="1" applyAlignment="1">
      <alignment vertical="center"/>
    </xf>
    <xf numFmtId="0" fontId="40" fillId="0" borderId="115" xfId="0" applyFont="1" applyBorder="1" applyAlignment="1">
      <alignment horizontal="center" vertical="center" wrapText="1"/>
    </xf>
    <xf numFmtId="41" fontId="47" fillId="24" borderId="115" xfId="32" applyFont="1" applyFill="1" applyBorder="1" applyAlignment="1">
      <alignment horizontal="center" vertical="center"/>
    </xf>
    <xf numFmtId="41" fontId="25" fillId="0" borderId="14" xfId="32" applyFont="1" applyFill="1" applyBorder="1" applyAlignment="1">
      <alignment horizontal="center" vertical="center" shrinkToFit="1"/>
    </xf>
    <xf numFmtId="41" fontId="25" fillId="0" borderId="59" xfId="32" applyFont="1" applyFill="1" applyBorder="1" applyAlignment="1">
      <alignment horizontal="center" vertical="center" shrinkToFit="1"/>
    </xf>
    <xf numFmtId="41" fontId="25" fillId="26" borderId="27" xfId="32" applyFont="1" applyFill="1" applyBorder="1" applyAlignment="1">
      <alignment horizontal="center" vertical="center" shrinkToFit="1"/>
    </xf>
    <xf numFmtId="0" fontId="29" fillId="24" borderId="89" xfId="43" applyFont="1" applyFill="1" applyBorder="1" applyAlignment="1">
      <alignment horizontal="center" vertical="center"/>
    </xf>
    <xf numFmtId="0" fontId="29" fillId="24" borderId="91" xfId="43" applyFont="1" applyFill="1" applyBorder="1" applyAlignment="1">
      <alignment horizontal="center" vertical="center"/>
    </xf>
    <xf numFmtId="41" fontId="26" fillId="26" borderId="44" xfId="32" applyFont="1" applyFill="1" applyBorder="1" applyAlignment="1">
      <alignment horizontal="center" vertical="center" wrapText="1"/>
    </xf>
    <xf numFmtId="41" fontId="25" fillId="0" borderId="34" xfId="32" applyFont="1" applyFill="1" applyBorder="1" applyAlignment="1">
      <alignment horizontal="center" vertical="center" shrinkToFit="1"/>
    </xf>
    <xf numFmtId="41" fontId="25" fillId="25" borderId="32" xfId="32" applyFont="1" applyFill="1" applyBorder="1" applyAlignment="1">
      <alignment horizontal="center" vertical="center" shrinkToFit="1"/>
    </xf>
    <xf numFmtId="41" fontId="25" fillId="24" borderId="34" xfId="32" applyFont="1" applyFill="1" applyBorder="1" applyAlignment="1">
      <alignment horizontal="center" vertical="center" shrinkToFit="1"/>
    </xf>
    <xf numFmtId="41" fontId="25" fillId="24" borderId="63" xfId="43" applyNumberFormat="1" applyFont="1" applyFill="1" applyBorder="1" applyAlignment="1">
      <alignment horizontal="center" vertical="center" shrinkToFit="1"/>
    </xf>
    <xf numFmtId="0" fontId="25" fillId="24" borderId="86" xfId="43" applyFont="1" applyFill="1" applyBorder="1" applyAlignment="1">
      <alignment horizontal="center" vertical="center" shrinkToFit="1"/>
    </xf>
    <xf numFmtId="41" fontId="25" fillId="24" borderId="64" xfId="43" applyNumberFormat="1" applyFont="1" applyFill="1" applyBorder="1" applyAlignment="1">
      <alignment horizontal="center" vertical="center" shrinkToFit="1"/>
    </xf>
    <xf numFmtId="0" fontId="25" fillId="24" borderId="69" xfId="43" applyFont="1" applyFill="1" applyBorder="1" applyAlignment="1">
      <alignment horizontal="center" vertical="center" shrinkToFit="1"/>
    </xf>
    <xf numFmtId="41" fontId="26" fillId="26" borderId="49" xfId="32" applyFont="1" applyFill="1" applyBorder="1" applyAlignment="1">
      <alignment horizontal="center" vertical="center" wrapText="1"/>
    </xf>
    <xf numFmtId="41" fontId="26" fillId="26" borderId="56" xfId="32" applyFont="1" applyFill="1" applyBorder="1" applyAlignment="1">
      <alignment horizontal="center" vertical="center" wrapText="1"/>
    </xf>
    <xf numFmtId="41" fontId="26" fillId="26" borderId="40" xfId="32" applyFont="1" applyFill="1" applyBorder="1" applyAlignment="1">
      <alignment horizontal="center" vertical="center" wrapText="1"/>
    </xf>
    <xf numFmtId="0" fontId="26" fillId="24" borderId="27" xfId="43" applyFont="1" applyFill="1" applyBorder="1" applyAlignment="1">
      <alignment horizontal="center" vertical="center" shrinkToFit="1"/>
    </xf>
    <xf numFmtId="41" fontId="25" fillId="24" borderId="33" xfId="32" applyFont="1" applyFill="1" applyBorder="1" applyAlignment="1">
      <alignment horizontal="center" vertical="center" shrinkToFit="1"/>
    </xf>
    <xf numFmtId="41" fontId="25" fillId="24" borderId="15" xfId="32" quotePrefix="1" applyFont="1" applyFill="1" applyBorder="1" applyAlignment="1">
      <alignment horizontal="center" vertical="center" wrapText="1"/>
    </xf>
    <xf numFmtId="41" fontId="25" fillId="24" borderId="16" xfId="32" quotePrefix="1" applyFont="1" applyFill="1" applyBorder="1" applyAlignment="1">
      <alignment horizontal="center" vertical="center" wrapText="1"/>
    </xf>
    <xf numFmtId="41" fontId="25" fillId="24" borderId="17" xfId="32" quotePrefix="1" applyFont="1" applyFill="1" applyBorder="1" applyAlignment="1">
      <alignment horizontal="center" vertical="center" wrapText="1"/>
    </xf>
    <xf numFmtId="0" fontId="4" fillId="31" borderId="66" xfId="45" applyFill="1" applyBorder="1" applyAlignment="1">
      <alignment horizontal="center" vertical="center"/>
    </xf>
    <xf numFmtId="0" fontId="4" fillId="31" borderId="67" xfId="45" applyFill="1" applyBorder="1" applyAlignment="1">
      <alignment horizontal="center" vertical="center"/>
    </xf>
    <xf numFmtId="41" fontId="37" fillId="28" borderId="83" xfId="32" applyFont="1" applyFill="1" applyBorder="1" applyAlignment="1">
      <alignment horizontal="center" vertical="center"/>
    </xf>
    <xf numFmtId="41" fontId="37" fillId="28" borderId="84" xfId="32" applyFont="1" applyFill="1" applyBorder="1" applyAlignment="1">
      <alignment horizontal="center" vertical="center"/>
    </xf>
    <xf numFmtId="41" fontId="25" fillId="24" borderId="14" xfId="32" applyFont="1" applyFill="1" applyBorder="1" applyAlignment="1">
      <alignment horizontal="center" vertical="center" shrinkToFit="1"/>
    </xf>
    <xf numFmtId="41" fontId="25" fillId="24" borderId="59" xfId="32" applyFont="1" applyFill="1" applyBorder="1" applyAlignment="1">
      <alignment horizontal="center" vertical="center" shrinkToFit="1"/>
    </xf>
    <xf numFmtId="41" fontId="25" fillId="24" borderId="22" xfId="32" applyFont="1" applyFill="1" applyBorder="1" applyAlignment="1">
      <alignment horizontal="center" vertical="center" wrapText="1"/>
    </xf>
    <xf numFmtId="41" fontId="25" fillId="24" borderId="23" xfId="32" applyFont="1" applyFill="1" applyBorder="1" applyAlignment="1">
      <alignment horizontal="center" vertical="center" wrapText="1"/>
    </xf>
    <xf numFmtId="41" fontId="25" fillId="24" borderId="24" xfId="32" applyFont="1" applyFill="1" applyBorder="1" applyAlignment="1">
      <alignment horizontal="center" vertical="center" wrapText="1"/>
    </xf>
    <xf numFmtId="41" fontId="25" fillId="24" borderId="112" xfId="32" applyFont="1" applyFill="1" applyBorder="1" applyAlignment="1">
      <alignment horizontal="center" vertical="center" shrinkToFit="1"/>
    </xf>
    <xf numFmtId="41" fontId="25" fillId="24" borderId="113" xfId="32" applyFont="1" applyFill="1" applyBorder="1" applyAlignment="1">
      <alignment horizontal="center" vertical="center" shrinkToFit="1"/>
    </xf>
    <xf numFmtId="41" fontId="25" fillId="24" borderId="16" xfId="32" applyFont="1" applyFill="1" applyBorder="1" applyAlignment="1">
      <alignment horizontal="center" vertical="center" wrapText="1"/>
    </xf>
    <xf numFmtId="41" fontId="25" fillId="24" borderId="17" xfId="32" applyFont="1" applyFill="1" applyBorder="1" applyAlignment="1">
      <alignment horizontal="center" vertical="center" wrapText="1"/>
    </xf>
    <xf numFmtId="41" fontId="31" fillId="24" borderId="10" xfId="32" applyFont="1" applyFill="1" applyBorder="1" applyAlignment="1">
      <alignment horizontal="left" vertical="center" wrapText="1"/>
    </xf>
    <xf numFmtId="41" fontId="31" fillId="24" borderId="0" xfId="32" applyFont="1" applyFill="1" applyBorder="1" applyAlignment="1">
      <alignment horizontal="left" vertical="center" wrapText="1"/>
    </xf>
    <xf numFmtId="41" fontId="31" fillId="24" borderId="50" xfId="32" applyFont="1" applyFill="1" applyBorder="1" applyAlignment="1">
      <alignment horizontal="left" vertical="center" wrapText="1"/>
    </xf>
    <xf numFmtId="41" fontId="31" fillId="24" borderId="51" xfId="32" applyFont="1" applyFill="1" applyBorder="1" applyAlignment="1">
      <alignment horizontal="left" vertical="center" wrapText="1"/>
    </xf>
    <xf numFmtId="41" fontId="25" fillId="24" borderId="15" xfId="32" applyFont="1" applyFill="1" applyBorder="1" applyAlignment="1">
      <alignment horizontal="center" vertical="center" wrapText="1"/>
    </xf>
    <xf numFmtId="41" fontId="26" fillId="24" borderId="47" xfId="32" applyFont="1" applyFill="1" applyBorder="1" applyAlignment="1">
      <alignment horizontal="left" vertical="center" wrapText="1"/>
    </xf>
    <xf numFmtId="41" fontId="26" fillId="24" borderId="31" xfId="32" applyFont="1" applyFill="1" applyBorder="1" applyAlignment="1">
      <alignment horizontal="left" vertical="center" wrapText="1"/>
    </xf>
    <xf numFmtId="41" fontId="26" fillId="24" borderId="48" xfId="32" applyFont="1" applyFill="1" applyBorder="1" applyAlignment="1">
      <alignment horizontal="left" vertical="center" wrapText="1"/>
    </xf>
    <xf numFmtId="41" fontId="26" fillId="24" borderId="39" xfId="32" applyFont="1" applyFill="1" applyBorder="1" applyAlignment="1">
      <alignment horizontal="left" vertical="center" wrapText="1"/>
    </xf>
    <xf numFmtId="41" fontId="26" fillId="26" borderId="42" xfId="32" applyFont="1" applyFill="1" applyBorder="1" applyAlignment="1">
      <alignment horizontal="center" vertical="center" wrapText="1"/>
    </xf>
    <xf numFmtId="41" fontId="26" fillId="26" borderId="53" xfId="32" applyFont="1" applyFill="1" applyBorder="1" applyAlignment="1">
      <alignment horizontal="center" vertical="center" wrapText="1"/>
    </xf>
    <xf numFmtId="41" fontId="26" fillId="26" borderId="54" xfId="32" applyFont="1" applyFill="1" applyBorder="1" applyAlignment="1">
      <alignment horizontal="center" vertical="center" wrapText="1"/>
    </xf>
    <xf numFmtId="41" fontId="26" fillId="27" borderId="55" xfId="32" applyFont="1" applyFill="1" applyBorder="1" applyAlignment="1">
      <alignment horizontal="center" vertical="center" wrapText="1"/>
    </xf>
    <xf numFmtId="41" fontId="26" fillId="27" borderId="56" xfId="32" applyFont="1" applyFill="1" applyBorder="1" applyAlignment="1">
      <alignment horizontal="center" vertical="center" wrapText="1"/>
    </xf>
    <xf numFmtId="41" fontId="33" fillId="24" borderId="98" xfId="32" applyFont="1" applyFill="1" applyBorder="1" applyAlignment="1">
      <alignment horizontal="left" vertical="center" wrapText="1"/>
    </xf>
    <xf numFmtId="41" fontId="33" fillId="24" borderId="77" xfId="32" applyFont="1" applyFill="1" applyBorder="1" applyAlignment="1">
      <alignment horizontal="left" vertical="center" wrapText="1"/>
    </xf>
    <xf numFmtId="41" fontId="25" fillId="0" borderId="32" xfId="32" applyFont="1" applyFill="1" applyBorder="1" applyAlignment="1">
      <alignment horizontal="center" vertical="center" shrinkToFit="1"/>
    </xf>
    <xf numFmtId="41" fontId="26" fillId="27" borderId="27" xfId="32" applyFont="1" applyFill="1" applyBorder="1" applyAlignment="1">
      <alignment horizontal="center" vertical="center" shrinkToFit="1"/>
    </xf>
    <xf numFmtId="41" fontId="25" fillId="0" borderId="33" xfId="32" applyFont="1" applyFill="1" applyBorder="1" applyAlignment="1">
      <alignment horizontal="center" vertical="center" shrinkToFit="1"/>
    </xf>
    <xf numFmtId="0" fontId="29" fillId="24" borderId="15" xfId="43" applyFont="1" applyFill="1" applyBorder="1" applyAlignment="1">
      <alignment horizontal="center" vertical="center"/>
    </xf>
    <xf numFmtId="0" fontId="29" fillId="24" borderId="16" xfId="43" applyFont="1" applyFill="1" applyBorder="1" applyAlignment="1">
      <alignment horizontal="center" vertical="center"/>
    </xf>
    <xf numFmtId="0" fontId="29" fillId="24" borderId="17" xfId="43" applyFont="1" applyFill="1" applyBorder="1" applyAlignment="1">
      <alignment horizontal="center" vertical="center"/>
    </xf>
    <xf numFmtId="41" fontId="25" fillId="24" borderId="39" xfId="32" applyFont="1" applyFill="1" applyBorder="1" applyAlignment="1">
      <alignment horizontal="center" vertical="center" wrapText="1"/>
    </xf>
    <xf numFmtId="41" fontId="25" fillId="24" borderId="30" xfId="32" applyFont="1" applyFill="1" applyBorder="1" applyAlignment="1">
      <alignment horizontal="center" vertical="center" wrapText="1"/>
    </xf>
    <xf numFmtId="41" fontId="25" fillId="24" borderId="31" xfId="32" applyFont="1" applyFill="1" applyBorder="1" applyAlignment="1">
      <alignment horizontal="center" vertical="center" wrapText="1"/>
    </xf>
    <xf numFmtId="41" fontId="25" fillId="25" borderId="34" xfId="32" applyFont="1" applyFill="1" applyBorder="1" applyAlignment="1">
      <alignment horizontal="center" vertical="center" shrinkToFit="1"/>
    </xf>
    <xf numFmtId="0" fontId="29" fillId="24" borderId="79" xfId="43" applyFont="1" applyFill="1" applyBorder="1" applyAlignment="1">
      <alignment horizontal="center" vertical="center"/>
    </xf>
    <xf numFmtId="0" fontId="29" fillId="24" borderId="80" xfId="43" applyFont="1" applyFill="1" applyBorder="1" applyAlignment="1">
      <alignment horizontal="center" vertical="center"/>
    </xf>
    <xf numFmtId="0" fontId="29" fillId="24" borderId="90" xfId="43" applyFont="1" applyFill="1" applyBorder="1" applyAlignment="1">
      <alignment horizontal="center" vertical="center"/>
    </xf>
    <xf numFmtId="41" fontId="37" fillId="28" borderId="92" xfId="32" applyFont="1" applyFill="1" applyBorder="1" applyAlignment="1">
      <alignment horizontal="center" vertical="center"/>
    </xf>
    <xf numFmtId="0" fontId="29" fillId="24" borderId="79" xfId="43" applyFont="1" applyFill="1" applyBorder="1" applyAlignment="1">
      <alignment horizontal="center" vertical="center" shrinkToFit="1"/>
    </xf>
    <xf numFmtId="0" fontId="29" fillId="24" borderId="80" xfId="43" applyFont="1" applyFill="1" applyBorder="1" applyAlignment="1">
      <alignment horizontal="center" vertical="center" shrinkToFit="1"/>
    </xf>
    <xf numFmtId="41" fontId="25" fillId="0" borderId="22" xfId="32" applyFont="1" applyFill="1" applyBorder="1" applyAlignment="1">
      <alignment horizontal="center" vertical="center" wrapText="1"/>
    </xf>
    <xf numFmtId="41" fontId="25" fillId="0" borderId="23" xfId="32" applyFont="1" applyFill="1" applyBorder="1" applyAlignment="1">
      <alignment horizontal="center" vertical="center" wrapText="1"/>
    </xf>
    <xf numFmtId="0" fontId="26" fillId="24" borderId="27" xfId="43" applyFont="1" applyFill="1" applyBorder="1" applyAlignment="1">
      <alignment horizontal="center" vertical="center" wrapText="1"/>
    </xf>
    <xf numFmtId="0" fontId="26" fillId="24" borderId="49" xfId="43" applyFont="1" applyFill="1" applyBorder="1" applyAlignment="1">
      <alignment horizontal="center" vertical="center" wrapText="1"/>
    </xf>
    <xf numFmtId="179" fontId="25" fillId="0" borderId="15" xfId="32" applyNumberFormat="1" applyFont="1" applyFill="1" applyBorder="1" applyAlignment="1">
      <alignment horizontal="center" vertical="center" wrapText="1"/>
    </xf>
    <xf numFmtId="179" fontId="25" fillId="0" borderId="16" xfId="32" applyNumberFormat="1" applyFont="1" applyFill="1" applyBorder="1" applyAlignment="1">
      <alignment horizontal="center" vertical="center" wrapText="1"/>
    </xf>
    <xf numFmtId="179" fontId="25" fillId="0" borderId="17" xfId="32" applyNumberFormat="1" applyFont="1" applyFill="1" applyBorder="1" applyAlignment="1">
      <alignment horizontal="center" vertical="center" wrapText="1"/>
    </xf>
    <xf numFmtId="41" fontId="26" fillId="24" borderId="14" xfId="32" applyFont="1" applyFill="1" applyBorder="1" applyAlignment="1">
      <alignment horizontal="left" vertical="center" wrapText="1"/>
    </xf>
    <xf numFmtId="41" fontId="26" fillId="24" borderId="16" xfId="32" applyFont="1" applyFill="1" applyBorder="1" applyAlignment="1">
      <alignment horizontal="left" vertical="center" wrapText="1"/>
    </xf>
    <xf numFmtId="0" fontId="42" fillId="28" borderId="66" xfId="43" applyFont="1" applyFill="1" applyBorder="1" applyAlignment="1">
      <alignment horizontal="center" vertical="center" wrapText="1"/>
    </xf>
    <xf numFmtId="0" fontId="42" fillId="28" borderId="97" xfId="43" applyFont="1" applyFill="1" applyBorder="1" applyAlignment="1">
      <alignment horizontal="center" vertical="center" wrapText="1"/>
    </xf>
    <xf numFmtId="0" fontId="42" fillId="28" borderId="67" xfId="43" applyFont="1" applyFill="1" applyBorder="1" applyAlignment="1">
      <alignment horizontal="center" vertical="center" wrapText="1"/>
    </xf>
    <xf numFmtId="0" fontId="29" fillId="24" borderId="98" xfId="43" applyFont="1" applyFill="1" applyBorder="1" applyAlignment="1">
      <alignment horizontal="center" vertical="center"/>
    </xf>
    <xf numFmtId="0" fontId="29" fillId="24" borderId="50" xfId="43" applyFont="1" applyFill="1" applyBorder="1" applyAlignment="1">
      <alignment horizontal="center" vertical="center"/>
    </xf>
    <xf numFmtId="0" fontId="25" fillId="24" borderId="44" xfId="43" applyFont="1" applyFill="1" applyBorder="1" applyAlignment="1">
      <alignment horizontal="center" vertical="center"/>
    </xf>
    <xf numFmtId="180" fontId="37" fillId="28" borderId="37" xfId="43" applyNumberFormat="1" applyFont="1" applyFill="1" applyBorder="1" applyAlignment="1">
      <alignment horizontal="center" vertical="center"/>
    </xf>
    <xf numFmtId="0" fontId="37" fillId="28" borderId="80" xfId="43" applyFont="1" applyFill="1" applyBorder="1" applyAlignment="1">
      <alignment horizontal="center" vertical="center"/>
    </xf>
    <xf numFmtId="0" fontId="29" fillId="24" borderId="15" xfId="44" applyFont="1" applyFill="1" applyBorder="1" applyAlignment="1">
      <alignment horizontal="center" vertical="center"/>
    </xf>
    <xf numFmtId="0" fontId="29" fillId="24" borderId="16" xfId="44" applyFont="1" applyFill="1" applyBorder="1" applyAlignment="1">
      <alignment horizontal="center" vertical="center"/>
    </xf>
    <xf numFmtId="0" fontId="29" fillId="24" borderId="17" xfId="44" applyFont="1" applyFill="1" applyBorder="1" applyAlignment="1">
      <alignment horizontal="center" vertical="center"/>
    </xf>
    <xf numFmtId="0" fontId="25" fillId="24" borderId="15" xfId="44" applyFont="1" applyFill="1" applyBorder="1" applyAlignment="1">
      <alignment horizontal="center" vertical="center"/>
    </xf>
    <xf numFmtId="0" fontId="25" fillId="24" borderId="16" xfId="44" applyFont="1" applyFill="1" applyBorder="1" applyAlignment="1">
      <alignment horizontal="center" vertical="center"/>
    </xf>
    <xf numFmtId="0" fontId="25" fillId="24" borderId="17" xfId="44" applyFont="1" applyFill="1" applyBorder="1" applyAlignment="1">
      <alignment horizontal="center" vertical="center"/>
    </xf>
    <xf numFmtId="188" fontId="30" fillId="24" borderId="38" xfId="43" applyNumberFormat="1" applyFont="1" applyFill="1" applyBorder="1" applyAlignment="1">
      <alignment horizontal="center" vertical="center"/>
    </xf>
    <xf numFmtId="188" fontId="30" fillId="24" borderId="45" xfId="43" applyNumberFormat="1" applyFont="1" applyFill="1" applyBorder="1" applyAlignment="1">
      <alignment horizontal="center" vertical="center"/>
    </xf>
    <xf numFmtId="188" fontId="30" fillId="24" borderId="46" xfId="43" applyNumberFormat="1" applyFont="1" applyFill="1" applyBorder="1" applyAlignment="1">
      <alignment horizontal="center" vertical="center"/>
    </xf>
    <xf numFmtId="41" fontId="25" fillId="24" borderId="116" xfId="32" applyFont="1" applyFill="1" applyBorder="1" applyAlignment="1">
      <alignment horizontal="center" vertical="center" shrinkToFit="1"/>
    </xf>
    <xf numFmtId="41" fontId="25" fillId="24" borderId="117" xfId="32" applyFont="1" applyFill="1" applyBorder="1" applyAlignment="1">
      <alignment horizontal="center" vertical="center" shrinkToFit="1"/>
    </xf>
    <xf numFmtId="41" fontId="25" fillId="24" borderId="118" xfId="32" applyFont="1" applyFill="1" applyBorder="1" applyAlignment="1">
      <alignment horizontal="center" vertical="center" shrinkToFit="1"/>
    </xf>
    <xf numFmtId="41" fontId="25" fillId="24" borderId="119" xfId="32" applyFont="1" applyFill="1" applyBorder="1" applyAlignment="1">
      <alignment horizontal="center" vertical="center" shrinkToFit="1"/>
    </xf>
  </cellXfs>
  <cellStyles count="47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백분율" xfId="46" builtinId="5"/>
    <cellStyle name="보통" xfId="29" builtinId="28" customBuiltin="1"/>
    <cellStyle name="설명 텍스트" xfId="30" builtinId="53" customBuiltin="1"/>
    <cellStyle name="셀 확인" xfId="31" builtinId="23" customBuiltin="1"/>
    <cellStyle name="쉼표 [0]" xfId="32" builtinId="6"/>
    <cellStyle name="연결된 셀" xfId="33" builtinId="24" customBuiltin="1"/>
    <cellStyle name="요약" xfId="34" builtinId="25" customBuiltin="1"/>
    <cellStyle name="입력" xfId="35" builtinId="20" customBuiltin="1"/>
    <cellStyle name="제목" xfId="36" builtinId="15" customBuiltin="1"/>
    <cellStyle name="제목 1" xfId="37" builtinId="16" customBuiltin="1"/>
    <cellStyle name="제목 2" xfId="38" builtinId="17" customBuiltin="1"/>
    <cellStyle name="제목 3" xfId="39" builtinId="18" customBuiltin="1"/>
    <cellStyle name="제목 4" xfId="40" builtinId="19" customBuiltin="1"/>
    <cellStyle name="좋음" xfId="41" builtinId="26" customBuiltin="1"/>
    <cellStyle name="출력" xfId="42" builtinId="21" customBuiltin="1"/>
    <cellStyle name="표준" xfId="0" builtinId="0"/>
    <cellStyle name="표준 2" xfId="45"/>
    <cellStyle name="표준_선정현황(97개사)자료" xfId="43"/>
    <cellStyle name="표준_전시회 교부양식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R217"/>
  <sheetViews>
    <sheetView tabSelected="1" zoomScale="69" zoomScaleNormal="69" workbookViewId="0">
      <selection activeCell="O33" sqref="O33"/>
    </sheetView>
  </sheetViews>
  <sheetFormatPr defaultColWidth="8.88671875" defaultRowHeight="13.5" x14ac:dyDescent="0.15"/>
  <cols>
    <col min="1" max="1" width="13.77734375" style="1" customWidth="1"/>
    <col min="2" max="2" width="35.44140625" style="23" bestFit="1" customWidth="1"/>
    <col min="3" max="3" width="5.77734375" style="23" customWidth="1"/>
    <col min="4" max="5" width="5.77734375" style="1" customWidth="1"/>
    <col min="6" max="6" width="12.77734375" style="1" customWidth="1"/>
    <col min="7" max="7" width="12.77734375" style="52" customWidth="1"/>
    <col min="8" max="8" width="11.77734375" style="52" customWidth="1"/>
    <col min="9" max="11" width="13.77734375" style="52" customWidth="1"/>
    <col min="12" max="12" width="8.88671875" style="1"/>
    <col min="13" max="13" width="17.5546875" style="1" bestFit="1" customWidth="1"/>
    <col min="14" max="14" width="14.77734375" style="1" bestFit="1" customWidth="1"/>
    <col min="15" max="15" width="8.88671875" style="1" customWidth="1"/>
    <col min="16" max="16" width="15.33203125" style="1" bestFit="1" customWidth="1"/>
    <col min="17" max="17" width="13.33203125" style="1" bestFit="1" customWidth="1"/>
    <col min="18" max="16384" width="8.88671875" style="1"/>
  </cols>
  <sheetData>
    <row r="1" spans="1:18" ht="42" customHeight="1" thickBot="1" x14ac:dyDescent="0.2">
      <c r="A1" s="295" t="s">
        <v>381</v>
      </c>
      <c r="B1" s="296"/>
      <c r="C1" s="296"/>
      <c r="D1" s="296"/>
      <c r="E1" s="296"/>
      <c r="F1" s="296"/>
      <c r="G1" s="296"/>
      <c r="H1" s="296"/>
      <c r="I1" s="296"/>
      <c r="J1" s="296"/>
      <c r="K1" s="297"/>
      <c r="L1" s="32" t="s">
        <v>84</v>
      </c>
    </row>
    <row r="2" spans="1:18" ht="9.9499999999999993" customHeight="1" thickBot="1" x14ac:dyDescent="0.2">
      <c r="A2" s="24"/>
      <c r="B2" s="25"/>
      <c r="C2" s="25"/>
      <c r="D2" s="25"/>
      <c r="E2" s="25"/>
      <c r="F2" s="25"/>
      <c r="G2" s="45"/>
      <c r="H2" s="45"/>
      <c r="I2" s="45"/>
      <c r="J2" s="45"/>
      <c r="K2" s="45"/>
      <c r="L2" s="33"/>
    </row>
    <row r="3" spans="1:18" ht="18" customHeight="1" x14ac:dyDescent="0.15">
      <c r="A3" s="167" t="s">
        <v>94</v>
      </c>
      <c r="B3" s="302" t="s">
        <v>101</v>
      </c>
      <c r="C3" s="302"/>
      <c r="D3" s="302"/>
      <c r="E3" s="302"/>
      <c r="F3" s="168" t="s">
        <v>179</v>
      </c>
      <c r="G3" s="169"/>
      <c r="H3" s="169"/>
      <c r="I3" s="169"/>
      <c r="J3" s="170"/>
      <c r="K3" s="171"/>
      <c r="L3" s="32" t="s">
        <v>227</v>
      </c>
    </row>
    <row r="4" spans="1:18" ht="18" customHeight="1" x14ac:dyDescent="0.15">
      <c r="A4" s="26" t="s">
        <v>82</v>
      </c>
      <c r="B4" s="27" t="s">
        <v>83</v>
      </c>
      <c r="C4" s="303" t="s">
        <v>178</v>
      </c>
      <c r="D4" s="304"/>
      <c r="E4" s="305"/>
      <c r="F4" s="130" t="s">
        <v>97</v>
      </c>
      <c r="G4" s="46" t="s">
        <v>81</v>
      </c>
      <c r="H4" s="46" t="s">
        <v>76</v>
      </c>
      <c r="I4" s="47" t="s">
        <v>96</v>
      </c>
      <c r="J4" s="46" t="s">
        <v>214</v>
      </c>
      <c r="K4" s="48"/>
    </row>
    <row r="5" spans="1:18" ht="18" customHeight="1" x14ac:dyDescent="0.15">
      <c r="A5" s="34">
        <v>44621</v>
      </c>
      <c r="B5" s="35">
        <v>44624</v>
      </c>
      <c r="C5" s="309">
        <f>DAYS360(A5,B5)+1</f>
        <v>4</v>
      </c>
      <c r="D5" s="310"/>
      <c r="E5" s="311"/>
      <c r="F5" s="36" t="s">
        <v>180</v>
      </c>
      <c r="G5" s="49" t="s">
        <v>43</v>
      </c>
      <c r="H5" s="49">
        <v>10</v>
      </c>
      <c r="I5" s="50">
        <v>9</v>
      </c>
      <c r="J5" s="145">
        <v>6</v>
      </c>
      <c r="K5" s="139"/>
    </row>
    <row r="6" spans="1:18" ht="18" customHeight="1" x14ac:dyDescent="0.15">
      <c r="A6" s="26" t="s">
        <v>95</v>
      </c>
      <c r="B6" s="27" t="s">
        <v>77</v>
      </c>
      <c r="C6" s="273" t="s">
        <v>75</v>
      </c>
      <c r="D6" s="274"/>
      <c r="E6" s="275"/>
      <c r="F6" s="27" t="s">
        <v>78</v>
      </c>
      <c r="G6" s="46" t="s">
        <v>177</v>
      </c>
      <c r="H6" s="46" t="s">
        <v>79</v>
      </c>
      <c r="I6" s="47" t="s">
        <v>80</v>
      </c>
      <c r="J6" s="46" t="s">
        <v>215</v>
      </c>
      <c r="K6" s="139"/>
    </row>
    <row r="7" spans="1:18" ht="18" customHeight="1" thickBot="1" x14ac:dyDescent="0.2">
      <c r="A7" s="108">
        <v>296</v>
      </c>
      <c r="B7" s="109" t="s">
        <v>74</v>
      </c>
      <c r="C7" s="301">
        <v>450</v>
      </c>
      <c r="D7" s="301"/>
      <c r="E7" s="301"/>
      <c r="F7" s="128">
        <v>0.6</v>
      </c>
      <c r="G7" s="110">
        <v>0.05</v>
      </c>
      <c r="H7" s="121">
        <v>1200000</v>
      </c>
      <c r="I7" s="205">
        <v>2632800</v>
      </c>
      <c r="J7" s="107">
        <v>1296000</v>
      </c>
      <c r="K7" s="48"/>
    </row>
    <row r="8" spans="1:18" ht="18" customHeight="1" x14ac:dyDescent="0.15">
      <c r="A8" s="298" t="s">
        <v>211</v>
      </c>
      <c r="B8" s="111" t="s">
        <v>371</v>
      </c>
      <c r="C8" s="284" t="s">
        <v>219</v>
      </c>
      <c r="D8" s="285"/>
      <c r="E8" s="285"/>
      <c r="F8" s="223" t="s">
        <v>224</v>
      </c>
      <c r="G8" s="131" t="s">
        <v>217</v>
      </c>
      <c r="H8" s="112" t="s">
        <v>374</v>
      </c>
      <c r="I8" s="47"/>
      <c r="J8" s="146"/>
      <c r="K8" s="48"/>
    </row>
    <row r="9" spans="1:18" ht="18" customHeight="1" thickBot="1" x14ac:dyDescent="0.2">
      <c r="A9" s="299"/>
      <c r="B9" s="113">
        <v>6000000</v>
      </c>
      <c r="C9" s="243">
        <v>5000000</v>
      </c>
      <c r="D9" s="244"/>
      <c r="E9" s="244"/>
      <c r="F9" s="224"/>
      <c r="G9" s="143">
        <v>500000</v>
      </c>
      <c r="H9" s="207">
        <v>11</v>
      </c>
      <c r="I9" s="206"/>
      <c r="J9" s="146"/>
      <c r="K9" s="139"/>
    </row>
    <row r="10" spans="1:18" ht="18" customHeight="1" x14ac:dyDescent="0.15">
      <c r="A10" s="223" t="s">
        <v>212</v>
      </c>
      <c r="B10" s="111" t="s">
        <v>372</v>
      </c>
      <c r="C10" s="280" t="s">
        <v>213</v>
      </c>
      <c r="D10" s="281"/>
      <c r="E10" s="282"/>
      <c r="F10" s="111" t="s">
        <v>216</v>
      </c>
      <c r="G10" s="122" t="s">
        <v>217</v>
      </c>
      <c r="H10" s="122" t="s">
        <v>218</v>
      </c>
      <c r="I10" s="112" t="s">
        <v>226</v>
      </c>
      <c r="J10" s="146"/>
      <c r="K10" s="139"/>
    </row>
    <row r="11" spans="1:18" ht="18" customHeight="1" thickBot="1" x14ac:dyDescent="0.2">
      <c r="A11" s="224"/>
      <c r="B11" s="140">
        <v>1</v>
      </c>
      <c r="C11" s="243">
        <v>700000</v>
      </c>
      <c r="D11" s="244"/>
      <c r="E11" s="283"/>
      <c r="F11" s="113">
        <v>2000000</v>
      </c>
      <c r="G11" s="141">
        <v>500000</v>
      </c>
      <c r="H11" s="141">
        <v>100000</v>
      </c>
      <c r="I11" s="142">
        <v>200000</v>
      </c>
      <c r="J11" s="144"/>
      <c r="K11" s="172"/>
    </row>
    <row r="12" spans="1:18" ht="9.9499999999999993" customHeight="1" x14ac:dyDescent="0.15">
      <c r="A12" s="4"/>
      <c r="B12" s="2"/>
      <c r="C12" s="2"/>
      <c r="D12" s="300"/>
      <c r="E12" s="300"/>
      <c r="F12" s="3"/>
      <c r="G12" s="51"/>
      <c r="H12" s="51"/>
      <c r="I12" s="51"/>
      <c r="J12" s="147"/>
      <c r="K12" s="51"/>
    </row>
    <row r="13" spans="1:18" ht="21.95" customHeight="1" x14ac:dyDescent="0.15">
      <c r="A13" s="5" t="s">
        <v>0</v>
      </c>
      <c r="B13" s="288" t="s">
        <v>1</v>
      </c>
      <c r="C13" s="288"/>
      <c r="D13" s="288"/>
      <c r="E13" s="288"/>
      <c r="F13" s="289"/>
      <c r="G13" s="236" t="s">
        <v>2</v>
      </c>
      <c r="H13" s="236"/>
      <c r="I13" s="68" t="s">
        <v>3</v>
      </c>
      <c r="J13" s="149" t="s">
        <v>4</v>
      </c>
      <c r="K13" s="138" t="s">
        <v>206</v>
      </c>
      <c r="R13" s="117"/>
    </row>
    <row r="14" spans="1:18" ht="21.95" customHeight="1" x14ac:dyDescent="0.15">
      <c r="A14" s="90" t="s">
        <v>207</v>
      </c>
      <c r="B14" s="95" t="s">
        <v>370</v>
      </c>
      <c r="C14" s="276">
        <f>MIN(B9,H5*1000000)</f>
        <v>6000000</v>
      </c>
      <c r="D14" s="277"/>
      <c r="E14" s="278"/>
      <c r="F14" s="114">
        <v>1</v>
      </c>
      <c r="G14" s="229">
        <f>C14*F14</f>
        <v>6000000</v>
      </c>
      <c r="H14" s="230"/>
      <c r="I14" s="70">
        <f>G14*0.8</f>
        <v>4800000</v>
      </c>
      <c r="J14" s="182">
        <f>G14-I14</f>
        <v>1200000</v>
      </c>
      <c r="K14" s="154">
        <f>C14-G14</f>
        <v>0</v>
      </c>
    </row>
    <row r="15" spans="1:18" ht="21.95" customHeight="1" x14ac:dyDescent="0.15">
      <c r="A15" s="93"/>
      <c r="B15" s="95" t="s">
        <v>369</v>
      </c>
      <c r="C15" s="258">
        <f>MIN(C9,H5*1000000)</f>
        <v>5000000</v>
      </c>
      <c r="D15" s="252"/>
      <c r="E15" s="253"/>
      <c r="F15" s="115">
        <v>1</v>
      </c>
      <c r="G15" s="231">
        <f t="shared" ref="G15" si="0">C15*F15</f>
        <v>5000000</v>
      </c>
      <c r="H15" s="232"/>
      <c r="I15" s="70">
        <f>G15*0.8</f>
        <v>4000000</v>
      </c>
      <c r="J15" s="183">
        <f>G15-I15</f>
        <v>1000000</v>
      </c>
      <c r="K15" s="175">
        <f>C15-G15</f>
        <v>0</v>
      </c>
    </row>
    <row r="16" spans="1:18" ht="21.95" customHeight="1" thickBot="1" x14ac:dyDescent="0.2">
      <c r="A16" s="93"/>
      <c r="B16" s="233" t="s">
        <v>28</v>
      </c>
      <c r="C16" s="234"/>
      <c r="D16" s="234"/>
      <c r="E16" s="234"/>
      <c r="F16" s="234"/>
      <c r="G16" s="222">
        <f>SUM(G14:H15)</f>
        <v>11000000</v>
      </c>
      <c r="H16" s="222"/>
      <c r="I16" s="94">
        <f>SUM(I14:I15)</f>
        <v>8800000</v>
      </c>
      <c r="J16" s="155">
        <f>SUM(J14:J15)</f>
        <v>2200000</v>
      </c>
      <c r="K16" s="176">
        <f>SUM(K14:K15)</f>
        <v>0</v>
      </c>
      <c r="Q16" s="118"/>
    </row>
    <row r="17" spans="1:17" ht="17.25" thickBot="1" x14ac:dyDescent="0.2">
      <c r="A17" s="6" t="s">
        <v>209</v>
      </c>
      <c r="B17" s="259" t="s">
        <v>375</v>
      </c>
      <c r="C17" s="260"/>
      <c r="D17" s="261"/>
      <c r="E17" s="261"/>
      <c r="F17" s="262"/>
      <c r="G17" s="227">
        <f>PRODUCT(F19,F20,F22)*0.7</f>
        <v>22191120</v>
      </c>
      <c r="H17" s="227"/>
      <c r="I17" s="69">
        <f>G17*0.8</f>
        <v>17752896</v>
      </c>
      <c r="J17" s="184">
        <f>G17-I17</f>
        <v>4438224</v>
      </c>
      <c r="K17" s="156">
        <f>PRODUCT(F19,F20,F22)*0.3</f>
        <v>9510480</v>
      </c>
      <c r="M17" s="241" t="s">
        <v>203</v>
      </c>
      <c r="N17" s="242"/>
      <c r="Q17" s="118"/>
    </row>
    <row r="18" spans="1:17" ht="16.5" x14ac:dyDescent="0.15">
      <c r="A18" s="96"/>
      <c r="B18" s="8" t="s">
        <v>14</v>
      </c>
      <c r="C18" s="9"/>
      <c r="D18" s="252" t="s">
        <v>5</v>
      </c>
      <c r="E18" s="253"/>
      <c r="F18" s="54">
        <f>H5</f>
        <v>10</v>
      </c>
      <c r="G18" s="226"/>
      <c r="H18" s="226"/>
      <c r="I18" s="70"/>
      <c r="J18" s="157"/>
      <c r="K18" s="177"/>
      <c r="M18" s="101" t="s">
        <v>204</v>
      </c>
      <c r="N18" s="102">
        <f>G14</f>
        <v>6000000</v>
      </c>
      <c r="P18" s="118"/>
      <c r="Q18" s="120"/>
    </row>
    <row r="19" spans="1:17" ht="16.5" x14ac:dyDescent="0.15">
      <c r="A19" s="7"/>
      <c r="B19" s="8" t="s">
        <v>15</v>
      </c>
      <c r="C19" s="9"/>
      <c r="D19" s="252" t="s">
        <v>16</v>
      </c>
      <c r="E19" s="253"/>
      <c r="F19" s="55">
        <f>A7</f>
        <v>296</v>
      </c>
      <c r="G19" s="226"/>
      <c r="H19" s="226"/>
      <c r="I19" s="71"/>
      <c r="J19" s="163"/>
      <c r="K19" s="177"/>
      <c r="M19" s="148" t="s">
        <v>231</v>
      </c>
      <c r="N19" s="102">
        <f>G16+G33+G39+G40+G45+G53</f>
        <v>120231011</v>
      </c>
      <c r="P19" s="120"/>
    </row>
    <row r="20" spans="1:17" ht="16.5" x14ac:dyDescent="0.15">
      <c r="A20" s="7"/>
      <c r="B20" s="8" t="s">
        <v>17</v>
      </c>
      <c r="C20" s="9"/>
      <c r="D20" s="252" t="s">
        <v>6</v>
      </c>
      <c r="E20" s="253"/>
      <c r="F20" s="54">
        <f>F18*F21</f>
        <v>90</v>
      </c>
      <c r="G20" s="226"/>
      <c r="H20" s="226"/>
      <c r="I20" s="71"/>
      <c r="J20" s="163"/>
      <c r="K20" s="177"/>
      <c r="M20" s="148" t="s">
        <v>228</v>
      </c>
      <c r="N20" s="102">
        <f>N19*0.15</f>
        <v>18034651.649999999</v>
      </c>
      <c r="P20" s="120"/>
    </row>
    <row r="21" spans="1:17" ht="16.5" x14ac:dyDescent="0.15">
      <c r="A21" s="7"/>
      <c r="B21" s="8" t="s">
        <v>18</v>
      </c>
      <c r="C21" s="9"/>
      <c r="D21" s="126"/>
      <c r="E21" s="126"/>
      <c r="F21" s="54">
        <f>I5</f>
        <v>9</v>
      </c>
      <c r="G21" s="226"/>
      <c r="H21" s="226"/>
      <c r="I21" s="71"/>
      <c r="J21" s="163"/>
      <c r="K21" s="177"/>
      <c r="M21" s="103" t="s">
        <v>210</v>
      </c>
      <c r="N21" s="102" t="str">
        <f>IF(MIN(SUM(G59:H63),N20)&gt;15000000,"초과","정상")</f>
        <v>정상</v>
      </c>
      <c r="P21" s="120"/>
    </row>
    <row r="22" spans="1:17" ht="16.5" x14ac:dyDescent="0.15">
      <c r="A22" s="7"/>
      <c r="B22" s="8" t="s">
        <v>19</v>
      </c>
      <c r="C22" s="104" t="s">
        <v>12</v>
      </c>
      <c r="D22" s="106" t="str">
        <f>B7</f>
        <v>USD</v>
      </c>
      <c r="E22" s="105" t="s">
        <v>13</v>
      </c>
      <c r="F22" s="56">
        <f>VLOOKUP($D22,'KOTRA 기준단가'!$I$1:$J$7,2,0)</f>
        <v>1190</v>
      </c>
      <c r="G22" s="226"/>
      <c r="H22" s="226"/>
      <c r="I22" s="70"/>
      <c r="J22" s="157"/>
      <c r="K22" s="177"/>
      <c r="M22" s="101" t="s">
        <v>205</v>
      </c>
      <c r="N22" s="102">
        <f>I65</f>
        <v>100603145.8</v>
      </c>
    </row>
    <row r="23" spans="1:17" ht="15.75" customHeight="1" thickBot="1" x14ac:dyDescent="0.2">
      <c r="A23" s="11"/>
      <c r="B23" s="134" t="s">
        <v>20</v>
      </c>
      <c r="C23" s="9"/>
      <c r="D23" s="135"/>
      <c r="E23" s="12"/>
      <c r="F23" s="57"/>
      <c r="G23" s="279">
        <f>SUM(G24,G28,G32)</f>
        <v>5077611</v>
      </c>
      <c r="H23" s="279"/>
      <c r="I23" s="72">
        <f>G23*0.8</f>
        <v>4062088.8000000003</v>
      </c>
      <c r="J23" s="158">
        <f>G23-I23</f>
        <v>1015522.1999999997</v>
      </c>
      <c r="K23" s="178">
        <f>SUM(K24,K28,K32)</f>
        <v>1606500</v>
      </c>
      <c r="M23" s="100" t="s">
        <v>206</v>
      </c>
      <c r="N23" s="208">
        <f>K65/H5</f>
        <v>3381510</v>
      </c>
      <c r="P23" s="119"/>
    </row>
    <row r="24" spans="1:17" ht="15.75" customHeight="1" x14ac:dyDescent="0.15">
      <c r="A24" s="11"/>
      <c r="B24" s="13" t="s">
        <v>376</v>
      </c>
      <c r="C24" s="9"/>
      <c r="D24" s="14"/>
      <c r="E24" s="12"/>
      <c r="F24" s="58"/>
      <c r="G24" s="228">
        <f>PRODUCT(F25:F27)*0.7</f>
        <v>3748499.9999999995</v>
      </c>
      <c r="H24" s="228"/>
      <c r="I24" s="70">
        <f>G24*0.8</f>
        <v>2998800</v>
      </c>
      <c r="J24" s="157">
        <f>G24-I24</f>
        <v>749699.99999999953</v>
      </c>
      <c r="K24" s="177">
        <f>PRODUCT(F25:F27)*0.3</f>
        <v>1606500</v>
      </c>
      <c r="P24" s="118"/>
    </row>
    <row r="25" spans="1:17" ht="15.75" customHeight="1" x14ac:dyDescent="0.15">
      <c r="A25" s="11"/>
      <c r="B25" s="8" t="s">
        <v>21</v>
      </c>
      <c r="C25" s="306" t="s">
        <v>22</v>
      </c>
      <c r="D25" s="307"/>
      <c r="E25" s="308"/>
      <c r="F25" s="59">
        <f>C7</f>
        <v>450</v>
      </c>
      <c r="G25" s="228"/>
      <c r="H25" s="228"/>
      <c r="I25" s="70"/>
      <c r="J25" s="157"/>
      <c r="K25" s="177"/>
      <c r="P25" s="119"/>
    </row>
    <row r="26" spans="1:17" ht="15.75" customHeight="1" x14ac:dyDescent="0.15">
      <c r="A26" s="11"/>
      <c r="B26" s="8" t="s">
        <v>14</v>
      </c>
      <c r="C26" s="9"/>
      <c r="D26" s="14"/>
      <c r="E26" s="12"/>
      <c r="F26" s="59">
        <f>F18</f>
        <v>10</v>
      </c>
      <c r="G26" s="228"/>
      <c r="H26" s="228"/>
      <c r="I26" s="70"/>
      <c r="J26" s="157"/>
      <c r="K26" s="177"/>
    </row>
    <row r="27" spans="1:17" ht="15.75" customHeight="1" x14ac:dyDescent="0.15">
      <c r="A27" s="11"/>
      <c r="B27" s="8" t="s">
        <v>23</v>
      </c>
      <c r="C27" s="258" t="s">
        <v>24</v>
      </c>
      <c r="D27" s="252"/>
      <c r="E27" s="253"/>
      <c r="F27" s="132">
        <f>F22</f>
        <v>1190</v>
      </c>
      <c r="G27" s="228"/>
      <c r="H27" s="228"/>
      <c r="I27" s="70"/>
      <c r="J27" s="157"/>
      <c r="K27" s="177"/>
    </row>
    <row r="28" spans="1:17" ht="15.75" customHeight="1" x14ac:dyDescent="0.15">
      <c r="A28" s="7"/>
      <c r="B28" s="8" t="s">
        <v>25</v>
      </c>
      <c r="C28" s="9"/>
      <c r="D28" s="135"/>
      <c r="E28" s="12"/>
      <c r="F28" s="59"/>
      <c r="G28" s="228">
        <f>F29*(F30+F31)</f>
        <v>1296981</v>
      </c>
      <c r="H28" s="228"/>
      <c r="I28" s="70">
        <f>G28*0.8</f>
        <v>1037584.8</v>
      </c>
      <c r="J28" s="157">
        <f>G28-I28</f>
        <v>259396.19999999995</v>
      </c>
      <c r="K28" s="177"/>
      <c r="N28" s="118"/>
    </row>
    <row r="29" spans="1:17" ht="15.75" customHeight="1" x14ac:dyDescent="0.15">
      <c r="A29" s="7"/>
      <c r="B29" s="8" t="s">
        <v>26</v>
      </c>
      <c r="C29" s="9"/>
      <c r="D29" s="135"/>
      <c r="E29" s="12"/>
      <c r="F29" s="174">
        <f>G7</f>
        <v>0.05</v>
      </c>
      <c r="G29" s="228"/>
      <c r="H29" s="228"/>
      <c r="I29" s="70"/>
      <c r="J29" s="157"/>
      <c r="K29" s="177"/>
      <c r="N29" s="123"/>
    </row>
    <row r="30" spans="1:17" ht="15.75" customHeight="1" x14ac:dyDescent="0.15">
      <c r="A30" s="7"/>
      <c r="B30" s="8"/>
      <c r="C30" s="258" t="s">
        <v>379</v>
      </c>
      <c r="D30" s="252"/>
      <c r="E30" s="253"/>
      <c r="F30" s="59">
        <f>G24</f>
        <v>3748499.9999999995</v>
      </c>
      <c r="G30" s="228"/>
      <c r="H30" s="228"/>
      <c r="I30" s="70"/>
      <c r="J30" s="157"/>
      <c r="K30" s="177"/>
    </row>
    <row r="31" spans="1:17" ht="15.75" customHeight="1" x14ac:dyDescent="0.15">
      <c r="A31" s="7"/>
      <c r="B31" s="8"/>
      <c r="C31" s="258" t="s">
        <v>380</v>
      </c>
      <c r="D31" s="252"/>
      <c r="E31" s="253"/>
      <c r="F31" s="59">
        <f>G17</f>
        <v>22191120</v>
      </c>
      <c r="G31" s="228"/>
      <c r="H31" s="228"/>
      <c r="I31" s="70"/>
      <c r="J31" s="157"/>
      <c r="K31" s="177"/>
    </row>
    <row r="32" spans="1:17" ht="15.75" customHeight="1" x14ac:dyDescent="0.15">
      <c r="A32" s="7"/>
      <c r="B32" s="19" t="s">
        <v>27</v>
      </c>
      <c r="C32" s="20"/>
      <c r="D32" s="38"/>
      <c r="E32" s="39"/>
      <c r="F32" s="173">
        <f>F7</f>
        <v>0.6</v>
      </c>
      <c r="G32" s="237">
        <f>F32*F22*F20*0.5</f>
        <v>32130</v>
      </c>
      <c r="H32" s="237"/>
      <c r="I32" s="73">
        <f>G32*0.8</f>
        <v>25704</v>
      </c>
      <c r="J32" s="159">
        <f>G32-I32</f>
        <v>6426</v>
      </c>
      <c r="K32" s="179"/>
    </row>
    <row r="33" spans="1:11" ht="21.95" customHeight="1" x14ac:dyDescent="0.15">
      <c r="A33" s="97"/>
      <c r="B33" s="225" t="s">
        <v>28</v>
      </c>
      <c r="C33" s="225"/>
      <c r="D33" s="225"/>
      <c r="E33" s="225"/>
      <c r="F33" s="225"/>
      <c r="G33" s="222">
        <f>G17+G23</f>
        <v>27268731</v>
      </c>
      <c r="H33" s="222"/>
      <c r="I33" s="74">
        <f>I17+I23</f>
        <v>21814984.800000001</v>
      </c>
      <c r="J33" s="160">
        <f>J17+J23</f>
        <v>5453746.1999999993</v>
      </c>
      <c r="K33" s="180">
        <f>K17+K23</f>
        <v>11116980</v>
      </c>
    </row>
    <row r="34" spans="1:11" ht="16.5" customHeight="1" x14ac:dyDescent="0.15">
      <c r="A34" s="96"/>
      <c r="B34" s="259" t="s">
        <v>7</v>
      </c>
      <c r="C34" s="260"/>
      <c r="D34" s="261"/>
      <c r="E34" s="261"/>
      <c r="F34" s="262"/>
      <c r="G34" s="227">
        <f>PRODUCT(F35:F38)</f>
        <v>38684520</v>
      </c>
      <c r="H34" s="227"/>
      <c r="I34" s="69">
        <f>G34*0.8</f>
        <v>30947616</v>
      </c>
      <c r="J34" s="184">
        <f>G34-I34</f>
        <v>7736904</v>
      </c>
      <c r="K34" s="156">
        <f>PRODUCT(F35,F36,F37,(1-F38))</f>
        <v>16579080.000000002</v>
      </c>
    </row>
    <row r="35" spans="1:11" x14ac:dyDescent="0.15">
      <c r="A35" s="7"/>
      <c r="B35" s="8" t="s">
        <v>29</v>
      </c>
      <c r="C35" s="9"/>
      <c r="D35" s="252"/>
      <c r="E35" s="253"/>
      <c r="F35" s="60">
        <f>F20</f>
        <v>90</v>
      </c>
      <c r="G35" s="226"/>
      <c r="H35" s="226"/>
      <c r="I35" s="70"/>
      <c r="J35" s="157"/>
      <c r="K35" s="177"/>
    </row>
    <row r="36" spans="1:11" ht="13.5" customHeight="1" x14ac:dyDescent="0.15">
      <c r="A36" s="7"/>
      <c r="B36" s="8" t="s">
        <v>30</v>
      </c>
      <c r="C36" s="16"/>
      <c r="D36" s="252" t="s">
        <v>16</v>
      </c>
      <c r="E36" s="253"/>
      <c r="F36" s="60">
        <f>VLOOKUP($G$5,'KOTRA 기준단가'!$B$2:$E$138,3,0)</f>
        <v>516</v>
      </c>
      <c r="G36" s="228"/>
      <c r="H36" s="228"/>
      <c r="I36" s="70"/>
      <c r="J36" s="157"/>
      <c r="K36" s="177"/>
    </row>
    <row r="37" spans="1:11" x14ac:dyDescent="0.15">
      <c r="A37" s="7"/>
      <c r="B37" s="8" t="s">
        <v>19</v>
      </c>
      <c r="C37" s="129" t="s">
        <v>12</v>
      </c>
      <c r="D37" s="10" t="str">
        <f>VLOOKUP($G$5,'KOTRA 기준단가'!$B$1:$E$138,2,0)</f>
        <v>USD</v>
      </c>
      <c r="E37" s="17" t="s">
        <v>13</v>
      </c>
      <c r="F37" s="56">
        <f>VLOOKUP($D37,'KOTRA 기준단가'!$I$1:$J$7,2,0)</f>
        <v>1190</v>
      </c>
      <c r="G37" s="228"/>
      <c r="H37" s="228"/>
      <c r="I37" s="70"/>
      <c r="J37" s="157"/>
      <c r="K37" s="177"/>
    </row>
    <row r="38" spans="1:11" x14ac:dyDescent="0.15">
      <c r="A38" s="7"/>
      <c r="B38" s="19" t="s">
        <v>31</v>
      </c>
      <c r="C38" s="20"/>
      <c r="D38" s="248"/>
      <c r="E38" s="249"/>
      <c r="F38" s="61">
        <v>0.7</v>
      </c>
      <c r="G38" s="237"/>
      <c r="H38" s="237"/>
      <c r="I38" s="73"/>
      <c r="J38" s="159"/>
      <c r="K38" s="179"/>
    </row>
    <row r="39" spans="1:11" ht="21.95" customHeight="1" x14ac:dyDescent="0.15">
      <c r="A39" s="97"/>
      <c r="B39" s="225" t="s">
        <v>8</v>
      </c>
      <c r="C39" s="225"/>
      <c r="D39" s="225"/>
      <c r="E39" s="225"/>
      <c r="F39" s="225"/>
      <c r="G39" s="222">
        <f>G34</f>
        <v>38684520</v>
      </c>
      <c r="H39" s="222"/>
      <c r="I39" s="74">
        <f>I34</f>
        <v>30947616</v>
      </c>
      <c r="J39" s="160">
        <f>J34</f>
        <v>7736904</v>
      </c>
      <c r="K39" s="180">
        <f>K34</f>
        <v>16579080.000000002</v>
      </c>
    </row>
    <row r="40" spans="1:11" ht="17.25" customHeight="1" x14ac:dyDescent="0.15">
      <c r="A40" s="96"/>
      <c r="B40" s="259" t="s">
        <v>32</v>
      </c>
      <c r="C40" s="260"/>
      <c r="D40" s="261"/>
      <c r="E40" s="261"/>
      <c r="F40" s="262"/>
      <c r="G40" s="227">
        <f>C42*F18</f>
        <v>12000000</v>
      </c>
      <c r="H40" s="227"/>
      <c r="I40" s="69">
        <f>G40*0.8</f>
        <v>9600000</v>
      </c>
      <c r="J40" s="184">
        <f>G40-I40</f>
        <v>2400000</v>
      </c>
      <c r="K40" s="156">
        <v>0</v>
      </c>
    </row>
    <row r="41" spans="1:11" ht="17.25" hidden="1" customHeight="1" x14ac:dyDescent="0.15">
      <c r="A41" s="18"/>
      <c r="B41" s="293"/>
      <c r="C41" s="294"/>
      <c r="D41" s="294"/>
      <c r="E41" s="294"/>
      <c r="F41" s="294"/>
      <c r="G41" s="78"/>
      <c r="H41" s="79"/>
      <c r="I41" s="70"/>
      <c r="J41" s="157"/>
      <c r="K41" s="161"/>
    </row>
    <row r="42" spans="1:11" ht="17.25" customHeight="1" x14ac:dyDescent="0.15">
      <c r="A42" s="7"/>
      <c r="B42" s="19" t="s">
        <v>33</v>
      </c>
      <c r="C42" s="247">
        <f>H7</f>
        <v>1200000</v>
      </c>
      <c r="D42" s="248"/>
      <c r="E42" s="125" t="s">
        <v>34</v>
      </c>
      <c r="F42" s="116"/>
      <c r="G42" s="237"/>
      <c r="H42" s="237"/>
      <c r="I42" s="73"/>
      <c r="J42" s="159"/>
      <c r="K42" s="179"/>
    </row>
    <row r="43" spans="1:11" ht="18.75" customHeight="1" x14ac:dyDescent="0.15">
      <c r="A43" s="96"/>
      <c r="B43" s="8" t="s">
        <v>225</v>
      </c>
      <c r="C43" s="28" t="str">
        <f>D37</f>
        <v>USD</v>
      </c>
      <c r="D43" s="29">
        <f>VLOOKUP($G$5,'KOTRA 기준단가'!$B$1:$E$138,4,0)</f>
        <v>380</v>
      </c>
      <c r="E43" s="30">
        <f>C5</f>
        <v>4</v>
      </c>
      <c r="F43" s="98">
        <f>H9</f>
        <v>11</v>
      </c>
      <c r="G43" s="270">
        <f>E43*D43*F37*F43*0.7</f>
        <v>13927760</v>
      </c>
      <c r="H43" s="270"/>
      <c r="I43" s="99">
        <f>G43*0.8</f>
        <v>11142208</v>
      </c>
      <c r="J43" s="185">
        <f>G43-I43</f>
        <v>2785552</v>
      </c>
      <c r="K43" s="161">
        <f>PRODUCT(D43*E43*F43*F37)*0.3</f>
        <v>5969040</v>
      </c>
    </row>
    <row r="44" spans="1:11" ht="18.75" customHeight="1" x14ac:dyDescent="0.15">
      <c r="A44" s="96"/>
      <c r="B44" s="13" t="s">
        <v>221</v>
      </c>
      <c r="C44" s="238">
        <f>G9</f>
        <v>500000</v>
      </c>
      <c r="D44" s="239"/>
      <c r="E44" s="240"/>
      <c r="F44" s="124">
        <v>0.7</v>
      </c>
      <c r="G44" s="220">
        <f>C44*F44</f>
        <v>350000</v>
      </c>
      <c r="H44" s="221"/>
      <c r="I44" s="88">
        <f>G44*0.8</f>
        <v>280000</v>
      </c>
      <c r="J44" s="157">
        <f t="shared" ref="J44" si="1">G44-I44</f>
        <v>70000</v>
      </c>
      <c r="K44" s="177">
        <f>C44-G44</f>
        <v>150000</v>
      </c>
    </row>
    <row r="45" spans="1:11" ht="17.25" customHeight="1" x14ac:dyDescent="0.15">
      <c r="A45" s="7"/>
      <c r="B45" s="225" t="s">
        <v>8</v>
      </c>
      <c r="C45" s="225"/>
      <c r="D45" s="225"/>
      <c r="E45" s="225"/>
      <c r="F45" s="225"/>
      <c r="G45" s="222">
        <f>SUM(G40:H44)</f>
        <v>26277760</v>
      </c>
      <c r="H45" s="222"/>
      <c r="I45" s="150">
        <f>SUM(I43:I44)</f>
        <v>11422208</v>
      </c>
      <c r="J45" s="155">
        <f>SUM(J43:J44)</f>
        <v>2855552</v>
      </c>
      <c r="K45" s="176">
        <f>SUM(K43:K44)</f>
        <v>6119040</v>
      </c>
    </row>
    <row r="46" spans="1:11" ht="17.25" customHeight="1" x14ac:dyDescent="0.15">
      <c r="A46" s="6" t="s">
        <v>202</v>
      </c>
      <c r="B46" s="91"/>
      <c r="C46" s="276"/>
      <c r="D46" s="277"/>
      <c r="E46" s="278"/>
      <c r="F46" s="87"/>
      <c r="G46" s="314"/>
      <c r="H46" s="315"/>
      <c r="I46" s="70"/>
      <c r="J46" s="161"/>
      <c r="K46" s="161"/>
    </row>
    <row r="47" spans="1:11" ht="17.25" customHeight="1" x14ac:dyDescent="0.15">
      <c r="A47" s="7"/>
      <c r="B47" s="92"/>
      <c r="C47" s="258"/>
      <c r="D47" s="252"/>
      <c r="E47" s="253"/>
      <c r="F47" s="133"/>
      <c r="G47" s="245"/>
      <c r="H47" s="246"/>
      <c r="I47" s="70"/>
      <c r="J47" s="177"/>
      <c r="K47" s="177"/>
    </row>
    <row r="48" spans="1:11" ht="17.25" customHeight="1" x14ac:dyDescent="0.15">
      <c r="A48" s="7"/>
      <c r="B48" s="92"/>
      <c r="C48" s="258"/>
      <c r="D48" s="252"/>
      <c r="E48" s="253"/>
      <c r="F48" s="124"/>
      <c r="G48" s="245"/>
      <c r="H48" s="246"/>
      <c r="I48" s="70"/>
      <c r="J48" s="177"/>
      <c r="K48" s="177"/>
    </row>
    <row r="49" spans="1:11" ht="17.25" customHeight="1" x14ac:dyDescent="0.15">
      <c r="A49" s="7"/>
      <c r="B49" s="92"/>
      <c r="C49" s="258"/>
      <c r="D49" s="252"/>
      <c r="E49" s="253"/>
      <c r="F49" s="124"/>
      <c r="G49" s="245"/>
      <c r="H49" s="246"/>
      <c r="I49" s="70"/>
      <c r="J49" s="177"/>
      <c r="K49" s="177"/>
    </row>
    <row r="50" spans="1:11" ht="17.25" customHeight="1" x14ac:dyDescent="0.15">
      <c r="A50" s="7"/>
      <c r="B50" s="92"/>
      <c r="C50" s="258"/>
      <c r="D50" s="252"/>
      <c r="E50" s="253"/>
      <c r="F50" s="133"/>
      <c r="G50" s="245"/>
      <c r="H50" s="246"/>
      <c r="I50" s="70"/>
      <c r="J50" s="177"/>
      <c r="K50" s="177"/>
    </row>
    <row r="51" spans="1:11" ht="17.25" customHeight="1" x14ac:dyDescent="0.15">
      <c r="A51" s="7"/>
      <c r="B51" s="92"/>
      <c r="C51" s="258"/>
      <c r="D51" s="252"/>
      <c r="E51" s="253"/>
      <c r="F51" s="89"/>
      <c r="G51" s="312"/>
      <c r="H51" s="313"/>
      <c r="I51" s="70"/>
      <c r="J51" s="177"/>
      <c r="K51" s="177"/>
    </row>
    <row r="52" spans="1:11" ht="17.25" customHeight="1" x14ac:dyDescent="0.15">
      <c r="A52" s="7"/>
      <c r="B52" s="92" t="s">
        <v>373</v>
      </c>
      <c r="C52" s="247">
        <v>1000000</v>
      </c>
      <c r="D52" s="248"/>
      <c r="E52" s="249"/>
      <c r="F52" s="89">
        <v>5</v>
      </c>
      <c r="G52" s="250">
        <f>C52*F52</f>
        <v>5000000</v>
      </c>
      <c r="H52" s="251"/>
      <c r="I52" s="70">
        <f t="shared" ref="I47:I52" si="2">G52*0.8</f>
        <v>4000000</v>
      </c>
      <c r="J52" s="177">
        <f t="shared" ref="J47:J52" si="3">G52-I52</f>
        <v>1000000</v>
      </c>
      <c r="K52" s="177">
        <f>C52*F52-G52</f>
        <v>0</v>
      </c>
    </row>
    <row r="53" spans="1:11" ht="17.25" customHeight="1" x14ac:dyDescent="0.15">
      <c r="A53" s="7"/>
      <c r="B53" s="233" t="s">
        <v>8</v>
      </c>
      <c r="C53" s="234"/>
      <c r="D53" s="234"/>
      <c r="E53" s="234"/>
      <c r="F53" s="235"/>
      <c r="G53" s="222">
        <f>SUM(G46:H52)</f>
        <v>5000000</v>
      </c>
      <c r="H53" s="222"/>
      <c r="I53" s="150">
        <f>SUM(I46:I52)</f>
        <v>4000000</v>
      </c>
      <c r="J53" s="155">
        <f>SUM(J46:J52)</f>
        <v>1000000</v>
      </c>
      <c r="K53" s="176">
        <f>SUM(K46:K51)</f>
        <v>0</v>
      </c>
    </row>
    <row r="54" spans="1:11" ht="18.75" customHeight="1" x14ac:dyDescent="0.15">
      <c r="A54" s="6" t="s">
        <v>208</v>
      </c>
      <c r="B54" s="259" t="s">
        <v>35</v>
      </c>
      <c r="C54" s="260"/>
      <c r="D54" s="261"/>
      <c r="E54" s="261"/>
      <c r="F54" s="262"/>
      <c r="G54" s="270"/>
      <c r="H54" s="270"/>
      <c r="I54" s="75"/>
      <c r="J54" s="186"/>
      <c r="K54" s="162"/>
    </row>
    <row r="55" spans="1:11" ht="18.75" customHeight="1" x14ac:dyDescent="0.15">
      <c r="A55" s="7"/>
      <c r="B55" s="8"/>
      <c r="C55" s="258" t="s">
        <v>9</v>
      </c>
      <c r="D55" s="252"/>
      <c r="E55" s="253"/>
      <c r="F55" s="62" t="s">
        <v>10</v>
      </c>
      <c r="G55" s="228"/>
      <c r="H55" s="228"/>
      <c r="I55" s="76"/>
      <c r="J55" s="187"/>
      <c r="K55" s="177"/>
    </row>
    <row r="56" spans="1:11" ht="18.75" customHeight="1" x14ac:dyDescent="0.15">
      <c r="A56" s="7"/>
      <c r="B56" s="8" t="s">
        <v>36</v>
      </c>
      <c r="C56" s="290"/>
      <c r="D56" s="291"/>
      <c r="E56" s="292"/>
      <c r="F56" s="63">
        <f>I5</f>
        <v>9</v>
      </c>
      <c r="G56" s="226">
        <f>F56*F19*F22</f>
        <v>3170160</v>
      </c>
      <c r="H56" s="226"/>
      <c r="I56" s="70">
        <f>G56*0.9</f>
        <v>2853144</v>
      </c>
      <c r="J56" s="157">
        <f t="shared" ref="J56:J63" si="4">G56-I56</f>
        <v>317016</v>
      </c>
      <c r="K56" s="177"/>
    </row>
    <row r="57" spans="1:11" ht="18.75" customHeight="1" x14ac:dyDescent="0.15">
      <c r="A57" s="7"/>
      <c r="B57" s="8" t="s">
        <v>37</v>
      </c>
      <c r="C57" s="290"/>
      <c r="D57" s="291"/>
      <c r="E57" s="292"/>
      <c r="F57" s="64"/>
      <c r="G57" s="226">
        <f>F36*F56*F37</f>
        <v>5526360</v>
      </c>
      <c r="H57" s="226"/>
      <c r="I57" s="70">
        <f>G57*0.9</f>
        <v>4973724</v>
      </c>
      <c r="J57" s="157">
        <f t="shared" si="4"/>
        <v>552636</v>
      </c>
      <c r="K57" s="177"/>
    </row>
    <row r="58" spans="1:11" ht="18.75" customHeight="1" x14ac:dyDescent="0.15">
      <c r="A58" s="7"/>
      <c r="B58" s="21" t="s">
        <v>38</v>
      </c>
      <c r="C58" s="22"/>
      <c r="D58" s="126"/>
      <c r="E58" s="127"/>
      <c r="F58" s="65"/>
      <c r="G58" s="226">
        <f>I7</f>
        <v>2632800</v>
      </c>
      <c r="H58" s="226"/>
      <c r="I58" s="70">
        <f>G58*0.9</f>
        <v>2369520</v>
      </c>
      <c r="J58" s="157">
        <f>G58-I58</f>
        <v>263280</v>
      </c>
      <c r="K58" s="177"/>
    </row>
    <row r="59" spans="1:11" ht="18.75" customHeight="1" x14ac:dyDescent="0.15">
      <c r="A59" s="7"/>
      <c r="B59" s="21" t="s">
        <v>199</v>
      </c>
      <c r="C59" s="238">
        <v>50000</v>
      </c>
      <c r="D59" s="239"/>
      <c r="E59" s="240"/>
      <c r="F59" s="66">
        <f>H5</f>
        <v>10</v>
      </c>
      <c r="G59" s="220">
        <f>MIN(C59*F59,1000000)</f>
        <v>500000</v>
      </c>
      <c r="H59" s="221"/>
      <c r="I59" s="70">
        <f>G59*0.9</f>
        <v>450000</v>
      </c>
      <c r="J59" s="157">
        <f t="shared" si="4"/>
        <v>50000</v>
      </c>
      <c r="K59" s="177"/>
    </row>
    <row r="60" spans="1:11" ht="18.75" customHeight="1" x14ac:dyDescent="0.15">
      <c r="A60" s="7"/>
      <c r="B60" s="37" t="s">
        <v>200</v>
      </c>
      <c r="C60" s="238">
        <v>50000</v>
      </c>
      <c r="D60" s="239"/>
      <c r="E60" s="240"/>
      <c r="F60" s="66">
        <f>H5</f>
        <v>10</v>
      </c>
      <c r="G60" s="220">
        <f>MIN(C60*F60,1000000)</f>
        <v>500000</v>
      </c>
      <c r="H60" s="221"/>
      <c r="I60" s="70">
        <f t="shared" ref="I60:I61" si="5">G60*0.9</f>
        <v>450000</v>
      </c>
      <c r="J60" s="157">
        <f t="shared" ref="J60:J61" si="6">G60-I60</f>
        <v>50000</v>
      </c>
      <c r="K60" s="177"/>
    </row>
    <row r="61" spans="1:11" ht="18.75" customHeight="1" x14ac:dyDescent="0.15">
      <c r="A61" s="7"/>
      <c r="B61" s="37" t="s">
        <v>201</v>
      </c>
      <c r="C61" s="238">
        <v>50000</v>
      </c>
      <c r="D61" s="239"/>
      <c r="E61" s="240"/>
      <c r="F61" s="66">
        <f>H5</f>
        <v>10</v>
      </c>
      <c r="G61" s="220">
        <f>MIN(C61*F61,1000000)</f>
        <v>500000</v>
      </c>
      <c r="H61" s="221"/>
      <c r="I61" s="70">
        <f t="shared" si="5"/>
        <v>450000</v>
      </c>
      <c r="J61" s="157">
        <f t="shared" si="6"/>
        <v>50000</v>
      </c>
      <c r="K61" s="177"/>
    </row>
    <row r="62" spans="1:11" ht="18.75" customHeight="1" x14ac:dyDescent="0.15">
      <c r="A62" s="7"/>
      <c r="B62" s="85" t="s">
        <v>98</v>
      </c>
      <c r="C62" s="9"/>
      <c r="D62" s="252" t="s">
        <v>5</v>
      </c>
      <c r="E62" s="253"/>
      <c r="F62" s="86">
        <f>H5</f>
        <v>10</v>
      </c>
      <c r="G62" s="226">
        <f>J7*IF(F62&gt;=16,"2","1")</f>
        <v>1296000</v>
      </c>
      <c r="H62" s="226"/>
      <c r="I62" s="70">
        <f>G62*0.9</f>
        <v>1166400</v>
      </c>
      <c r="J62" s="157">
        <f t="shared" si="4"/>
        <v>129600</v>
      </c>
      <c r="K62" s="177"/>
    </row>
    <row r="63" spans="1:11" ht="18.75" customHeight="1" x14ac:dyDescent="0.15">
      <c r="A63" s="7"/>
      <c r="B63" s="40" t="s">
        <v>220</v>
      </c>
      <c r="C63" s="286">
        <f>VLOOKUP($G$5,국외여비기준!$E$1:$L$130,7,0)*E63</f>
        <v>1613640</v>
      </c>
      <c r="D63" s="287"/>
      <c r="E63" s="41">
        <f>E43+2</f>
        <v>6</v>
      </c>
      <c r="F63" s="67">
        <f>C63-VLOOKUP($G$5,국외여비기준!$E$1:$L$130,8,FALSE)</f>
        <v>1450610</v>
      </c>
      <c r="G63" s="272">
        <f>F63*IF(F62&gt;=16,"2","1")</f>
        <v>1450610</v>
      </c>
      <c r="H63" s="272"/>
      <c r="I63" s="84">
        <f>G63*0.9</f>
        <v>1305549</v>
      </c>
      <c r="J63" s="159">
        <f t="shared" si="4"/>
        <v>145061</v>
      </c>
      <c r="K63" s="181"/>
    </row>
    <row r="64" spans="1:11" ht="21.95" customHeight="1" x14ac:dyDescent="0.15">
      <c r="A64" s="15"/>
      <c r="B64" s="263" t="s">
        <v>11</v>
      </c>
      <c r="C64" s="263"/>
      <c r="D64" s="264"/>
      <c r="E64" s="264"/>
      <c r="F64" s="265"/>
      <c r="G64" s="222">
        <f>SUM(G56:H63)</f>
        <v>15575930</v>
      </c>
      <c r="H64" s="222"/>
      <c r="I64" s="74">
        <f>SUM(I56:I63)</f>
        <v>14018337</v>
      </c>
      <c r="J64" s="160">
        <f>SUM(J56:J63)</f>
        <v>1557593</v>
      </c>
      <c r="K64" s="176">
        <v>0</v>
      </c>
    </row>
    <row r="65" spans="1:13" ht="26.25" customHeight="1" x14ac:dyDescent="0.15">
      <c r="A65" s="266" t="s">
        <v>93</v>
      </c>
      <c r="B65" s="267"/>
      <c r="C65" s="267"/>
      <c r="D65" s="267"/>
      <c r="E65" s="267"/>
      <c r="F65" s="267"/>
      <c r="G65" s="271">
        <f>G16+G33+G39+G45+G53+G64</f>
        <v>123806941</v>
      </c>
      <c r="H65" s="271"/>
      <c r="I65" s="164">
        <f>I16+I33+I39+I40+I45+I53+I64</f>
        <v>100603145.8</v>
      </c>
      <c r="J65" s="188">
        <f>J16+J33+J39+J40+J45+J53+J64</f>
        <v>23203795.199999999</v>
      </c>
      <c r="K65" s="77">
        <f>K16+K33+K39+K40+K45+K53+K64</f>
        <v>33815100</v>
      </c>
      <c r="M65" s="120"/>
    </row>
    <row r="66" spans="1:13" ht="5.0999999999999996" customHeight="1" thickBot="1" x14ac:dyDescent="0.2">
      <c r="A66" s="151"/>
      <c r="B66" s="152"/>
      <c r="C66" s="152"/>
      <c r="D66" s="137"/>
      <c r="E66" s="137"/>
      <c r="F66" s="137"/>
      <c r="G66" s="153"/>
      <c r="H66" s="153"/>
      <c r="I66" s="153"/>
      <c r="J66" s="153"/>
      <c r="K66" s="53"/>
    </row>
    <row r="67" spans="1:13" ht="18" customHeight="1" x14ac:dyDescent="0.15">
      <c r="A67" s="268" t="s">
        <v>232</v>
      </c>
      <c r="B67" s="269"/>
      <c r="C67" s="269"/>
      <c r="D67" s="269"/>
      <c r="E67" s="269"/>
      <c r="F67" s="269"/>
      <c r="G67" s="269"/>
      <c r="H67" s="269"/>
      <c r="I67" s="269"/>
      <c r="J67" s="269"/>
      <c r="K67" s="165"/>
    </row>
    <row r="68" spans="1:13" x14ac:dyDescent="0.15">
      <c r="A68" s="254" t="s">
        <v>229</v>
      </c>
      <c r="B68" s="255"/>
      <c r="C68" s="255"/>
      <c r="D68" s="255"/>
      <c r="E68" s="255"/>
      <c r="F68" s="255"/>
      <c r="G68" s="255"/>
      <c r="H68" s="255"/>
      <c r="I68" s="255"/>
      <c r="J68" s="255"/>
      <c r="K68" s="136"/>
    </row>
    <row r="69" spans="1:13" x14ac:dyDescent="0.15">
      <c r="A69" s="254" t="s">
        <v>230</v>
      </c>
      <c r="B69" s="255"/>
      <c r="C69" s="255"/>
      <c r="D69" s="255"/>
      <c r="E69" s="255"/>
      <c r="F69" s="255"/>
      <c r="G69" s="255"/>
      <c r="H69" s="255"/>
      <c r="I69" s="255"/>
      <c r="J69" s="255"/>
      <c r="K69" s="136"/>
    </row>
    <row r="70" spans="1:13" ht="14.25" thickBot="1" x14ac:dyDescent="0.2">
      <c r="A70" s="256" t="s">
        <v>382</v>
      </c>
      <c r="B70" s="257"/>
      <c r="C70" s="257"/>
      <c r="D70" s="257"/>
      <c r="E70" s="257"/>
      <c r="F70" s="257"/>
      <c r="G70" s="257"/>
      <c r="H70" s="257"/>
      <c r="I70" s="257"/>
      <c r="J70" s="257"/>
      <c r="K70" s="166"/>
    </row>
    <row r="86" spans="13:14" x14ac:dyDescent="0.15">
      <c r="M86" s="31"/>
      <c r="N86" s="31"/>
    </row>
    <row r="87" spans="13:14" x14ac:dyDescent="0.15">
      <c r="M87" s="31"/>
      <c r="N87" s="31"/>
    </row>
    <row r="88" spans="13:14" x14ac:dyDescent="0.15">
      <c r="M88" s="31"/>
      <c r="N88" s="31"/>
    </row>
    <row r="89" spans="13:14" x14ac:dyDescent="0.15">
      <c r="M89" s="31"/>
      <c r="N89" s="31"/>
    </row>
    <row r="90" spans="13:14" x14ac:dyDescent="0.15">
      <c r="M90" s="31"/>
      <c r="N90" s="31"/>
    </row>
    <row r="91" spans="13:14" x14ac:dyDescent="0.15">
      <c r="M91" s="31"/>
      <c r="N91" s="31"/>
    </row>
    <row r="92" spans="13:14" x14ac:dyDescent="0.15">
      <c r="M92" s="31"/>
      <c r="N92" s="31"/>
    </row>
    <row r="93" spans="13:14" x14ac:dyDescent="0.15">
      <c r="M93" s="31"/>
      <c r="N93" s="31"/>
    </row>
    <row r="94" spans="13:14" x14ac:dyDescent="0.15">
      <c r="M94" s="31"/>
      <c r="N94" s="31"/>
    </row>
    <row r="95" spans="13:14" x14ac:dyDescent="0.15">
      <c r="M95" s="31"/>
      <c r="N95" s="31"/>
    </row>
    <row r="96" spans="13:14" x14ac:dyDescent="0.15">
      <c r="M96" s="31"/>
      <c r="N96" s="31"/>
    </row>
    <row r="97" spans="13:14" x14ac:dyDescent="0.15">
      <c r="M97" s="31"/>
      <c r="N97" s="31"/>
    </row>
    <row r="98" spans="13:14" x14ac:dyDescent="0.15">
      <c r="M98" s="31"/>
      <c r="N98" s="31"/>
    </row>
    <row r="99" spans="13:14" x14ac:dyDescent="0.15">
      <c r="M99" s="31"/>
      <c r="N99" s="31"/>
    </row>
    <row r="100" spans="13:14" x14ac:dyDescent="0.15">
      <c r="M100" s="31"/>
      <c r="N100" s="31"/>
    </row>
    <row r="101" spans="13:14" x14ac:dyDescent="0.15">
      <c r="M101" s="31"/>
      <c r="N101" s="31"/>
    </row>
    <row r="102" spans="13:14" x14ac:dyDescent="0.15">
      <c r="M102" s="31"/>
      <c r="N102" s="31"/>
    </row>
    <row r="103" spans="13:14" x14ac:dyDescent="0.15">
      <c r="M103" s="31"/>
      <c r="N103" s="31"/>
    </row>
    <row r="104" spans="13:14" x14ac:dyDescent="0.15">
      <c r="M104" s="31"/>
      <c r="N104" s="31"/>
    </row>
    <row r="105" spans="13:14" x14ac:dyDescent="0.15">
      <c r="M105" s="31"/>
      <c r="N105" s="31"/>
    </row>
    <row r="106" spans="13:14" x14ac:dyDescent="0.15">
      <c r="M106" s="31"/>
      <c r="N106" s="31"/>
    </row>
    <row r="107" spans="13:14" x14ac:dyDescent="0.15">
      <c r="M107" s="31"/>
      <c r="N107" s="31"/>
    </row>
    <row r="108" spans="13:14" x14ac:dyDescent="0.15">
      <c r="M108" s="31"/>
      <c r="N108" s="31"/>
    </row>
    <row r="109" spans="13:14" x14ac:dyDescent="0.15">
      <c r="M109" s="31"/>
      <c r="N109" s="31"/>
    </row>
    <row r="110" spans="13:14" x14ac:dyDescent="0.15">
      <c r="M110" s="31"/>
      <c r="N110" s="31"/>
    </row>
    <row r="111" spans="13:14" x14ac:dyDescent="0.15">
      <c r="M111" s="31"/>
      <c r="N111" s="31"/>
    </row>
    <row r="112" spans="13:14" x14ac:dyDescent="0.15">
      <c r="M112" s="31"/>
      <c r="N112" s="31"/>
    </row>
    <row r="113" spans="13:14" x14ac:dyDescent="0.15">
      <c r="M113" s="31"/>
      <c r="N113" s="31"/>
    </row>
    <row r="114" spans="13:14" x14ac:dyDescent="0.15">
      <c r="M114" s="31"/>
      <c r="N114" s="31"/>
    </row>
    <row r="115" spans="13:14" x14ac:dyDescent="0.15">
      <c r="M115" s="31"/>
      <c r="N115" s="31"/>
    </row>
    <row r="116" spans="13:14" x14ac:dyDescent="0.15">
      <c r="M116" s="31"/>
      <c r="N116" s="31"/>
    </row>
    <row r="117" spans="13:14" x14ac:dyDescent="0.15">
      <c r="M117" s="31"/>
      <c r="N117" s="31"/>
    </row>
    <row r="118" spans="13:14" x14ac:dyDescent="0.15">
      <c r="M118" s="31"/>
      <c r="N118" s="31"/>
    </row>
    <row r="119" spans="13:14" x14ac:dyDescent="0.15">
      <c r="M119" s="31"/>
      <c r="N119" s="31"/>
    </row>
    <row r="120" spans="13:14" x14ac:dyDescent="0.15">
      <c r="M120" s="31"/>
      <c r="N120" s="31"/>
    </row>
    <row r="121" spans="13:14" x14ac:dyDescent="0.15">
      <c r="M121" s="31"/>
      <c r="N121" s="31"/>
    </row>
    <row r="122" spans="13:14" x14ac:dyDescent="0.15">
      <c r="M122" s="31"/>
      <c r="N122" s="31"/>
    </row>
    <row r="123" spans="13:14" x14ac:dyDescent="0.15">
      <c r="M123" s="31"/>
      <c r="N123" s="31"/>
    </row>
    <row r="124" spans="13:14" x14ac:dyDescent="0.15">
      <c r="M124" s="31"/>
      <c r="N124" s="31"/>
    </row>
    <row r="125" spans="13:14" x14ac:dyDescent="0.15">
      <c r="M125" s="31"/>
      <c r="N125" s="31"/>
    </row>
    <row r="126" spans="13:14" x14ac:dyDescent="0.15">
      <c r="M126" s="31"/>
      <c r="N126" s="31"/>
    </row>
    <row r="127" spans="13:14" x14ac:dyDescent="0.15">
      <c r="M127" s="31"/>
      <c r="N127" s="31"/>
    </row>
    <row r="128" spans="13:14" x14ac:dyDescent="0.15">
      <c r="M128" s="31"/>
      <c r="N128" s="31"/>
    </row>
    <row r="129" spans="13:14" x14ac:dyDescent="0.15">
      <c r="M129" s="31"/>
      <c r="N129" s="31"/>
    </row>
    <row r="130" spans="13:14" x14ac:dyDescent="0.15">
      <c r="M130" s="31"/>
      <c r="N130" s="31"/>
    </row>
    <row r="131" spans="13:14" x14ac:dyDescent="0.15">
      <c r="M131" s="31"/>
      <c r="N131" s="31"/>
    </row>
    <row r="132" spans="13:14" x14ac:dyDescent="0.15">
      <c r="M132" s="31"/>
      <c r="N132" s="31"/>
    </row>
    <row r="133" spans="13:14" x14ac:dyDescent="0.15">
      <c r="M133" s="31"/>
      <c r="N133" s="31"/>
    </row>
    <row r="134" spans="13:14" x14ac:dyDescent="0.15">
      <c r="M134" s="31"/>
      <c r="N134" s="31"/>
    </row>
    <row r="135" spans="13:14" x14ac:dyDescent="0.15">
      <c r="M135" s="31"/>
      <c r="N135" s="31"/>
    </row>
    <row r="136" spans="13:14" x14ac:dyDescent="0.15">
      <c r="M136" s="31"/>
      <c r="N136" s="31"/>
    </row>
    <row r="137" spans="13:14" x14ac:dyDescent="0.15">
      <c r="M137" s="31"/>
      <c r="N137" s="31"/>
    </row>
    <row r="138" spans="13:14" x14ac:dyDescent="0.15">
      <c r="M138" s="31"/>
      <c r="N138" s="31"/>
    </row>
    <row r="139" spans="13:14" x14ac:dyDescent="0.15">
      <c r="M139" s="31"/>
      <c r="N139" s="31"/>
    </row>
    <row r="140" spans="13:14" x14ac:dyDescent="0.15">
      <c r="M140" s="31"/>
      <c r="N140" s="31"/>
    </row>
    <row r="141" spans="13:14" x14ac:dyDescent="0.15">
      <c r="M141" s="31"/>
      <c r="N141" s="31"/>
    </row>
    <row r="142" spans="13:14" x14ac:dyDescent="0.15">
      <c r="M142" s="31"/>
      <c r="N142" s="31"/>
    </row>
    <row r="143" spans="13:14" x14ac:dyDescent="0.15">
      <c r="M143" s="31"/>
      <c r="N143" s="31"/>
    </row>
    <row r="144" spans="13:14" x14ac:dyDescent="0.15">
      <c r="M144" s="31"/>
      <c r="N144" s="31"/>
    </row>
    <row r="145" spans="13:14" x14ac:dyDescent="0.15">
      <c r="M145" s="31"/>
      <c r="N145" s="31"/>
    </row>
    <row r="146" spans="13:14" x14ac:dyDescent="0.15">
      <c r="M146" s="31"/>
      <c r="N146" s="31"/>
    </row>
    <row r="147" spans="13:14" x14ac:dyDescent="0.15">
      <c r="M147" s="31"/>
      <c r="N147" s="31"/>
    </row>
    <row r="148" spans="13:14" x14ac:dyDescent="0.15">
      <c r="M148" s="31"/>
      <c r="N148" s="31"/>
    </row>
    <row r="149" spans="13:14" x14ac:dyDescent="0.15">
      <c r="M149" s="31"/>
      <c r="N149" s="31"/>
    </row>
    <row r="150" spans="13:14" x14ac:dyDescent="0.15">
      <c r="M150" s="31"/>
      <c r="N150" s="31"/>
    </row>
    <row r="151" spans="13:14" x14ac:dyDescent="0.15">
      <c r="M151" s="31"/>
      <c r="N151" s="31"/>
    </row>
    <row r="152" spans="13:14" x14ac:dyDescent="0.15">
      <c r="M152" s="31"/>
      <c r="N152" s="31"/>
    </row>
    <row r="153" spans="13:14" x14ac:dyDescent="0.15">
      <c r="M153" s="31"/>
      <c r="N153" s="31"/>
    </row>
    <row r="154" spans="13:14" x14ac:dyDescent="0.15">
      <c r="M154" s="31"/>
      <c r="N154" s="31"/>
    </row>
    <row r="155" spans="13:14" x14ac:dyDescent="0.15">
      <c r="M155" s="31"/>
      <c r="N155" s="31"/>
    </row>
    <row r="156" spans="13:14" x14ac:dyDescent="0.15">
      <c r="M156" s="31"/>
      <c r="N156" s="31"/>
    </row>
    <row r="157" spans="13:14" x14ac:dyDescent="0.15">
      <c r="M157" s="31"/>
      <c r="N157" s="31"/>
    </row>
    <row r="158" spans="13:14" x14ac:dyDescent="0.15">
      <c r="M158" s="31"/>
      <c r="N158" s="31"/>
    </row>
    <row r="159" spans="13:14" x14ac:dyDescent="0.15">
      <c r="M159" s="31"/>
      <c r="N159" s="31"/>
    </row>
    <row r="160" spans="13:14" x14ac:dyDescent="0.15">
      <c r="M160" s="31"/>
      <c r="N160" s="31"/>
    </row>
    <row r="161" spans="13:14" x14ac:dyDescent="0.15">
      <c r="M161" s="31"/>
      <c r="N161" s="31"/>
    </row>
    <row r="162" spans="13:14" x14ac:dyDescent="0.15">
      <c r="M162" s="31"/>
      <c r="N162" s="31"/>
    </row>
    <row r="163" spans="13:14" x14ac:dyDescent="0.15">
      <c r="M163" s="31"/>
      <c r="N163" s="31"/>
    </row>
    <row r="164" spans="13:14" x14ac:dyDescent="0.15">
      <c r="M164" s="31"/>
      <c r="N164" s="31"/>
    </row>
    <row r="165" spans="13:14" x14ac:dyDescent="0.15">
      <c r="M165" s="31"/>
      <c r="N165" s="31"/>
    </row>
    <row r="166" spans="13:14" x14ac:dyDescent="0.15">
      <c r="M166" s="31"/>
      <c r="N166" s="31"/>
    </row>
    <row r="167" spans="13:14" x14ac:dyDescent="0.15">
      <c r="M167" s="31"/>
      <c r="N167" s="31"/>
    </row>
    <row r="168" spans="13:14" x14ac:dyDescent="0.15">
      <c r="M168" s="31"/>
      <c r="N168" s="31"/>
    </row>
    <row r="169" spans="13:14" x14ac:dyDescent="0.15">
      <c r="M169" s="31"/>
      <c r="N169" s="31"/>
    </row>
    <row r="170" spans="13:14" x14ac:dyDescent="0.15">
      <c r="M170" s="31"/>
      <c r="N170" s="31"/>
    </row>
    <row r="171" spans="13:14" x14ac:dyDescent="0.15">
      <c r="M171" s="31"/>
      <c r="N171" s="31"/>
    </row>
    <row r="172" spans="13:14" x14ac:dyDescent="0.15">
      <c r="M172" s="31"/>
      <c r="N172" s="31"/>
    </row>
    <row r="173" spans="13:14" x14ac:dyDescent="0.15">
      <c r="M173" s="31"/>
      <c r="N173" s="31"/>
    </row>
    <row r="174" spans="13:14" x14ac:dyDescent="0.15">
      <c r="M174" s="31"/>
      <c r="N174" s="31"/>
    </row>
    <row r="175" spans="13:14" x14ac:dyDescent="0.15">
      <c r="M175" s="31"/>
      <c r="N175" s="31"/>
    </row>
    <row r="176" spans="13:14" x14ac:dyDescent="0.15">
      <c r="M176" s="31"/>
      <c r="N176" s="31"/>
    </row>
    <row r="177" spans="13:14" x14ac:dyDescent="0.15">
      <c r="M177" s="31"/>
      <c r="N177" s="31"/>
    </row>
    <row r="178" spans="13:14" x14ac:dyDescent="0.15">
      <c r="M178" s="31"/>
      <c r="N178" s="31"/>
    </row>
    <row r="179" spans="13:14" x14ac:dyDescent="0.15">
      <c r="M179" s="31"/>
      <c r="N179" s="31"/>
    </row>
    <row r="180" spans="13:14" x14ac:dyDescent="0.15">
      <c r="M180" s="31"/>
      <c r="N180" s="31"/>
    </row>
    <row r="181" spans="13:14" x14ac:dyDescent="0.15">
      <c r="M181" s="31"/>
      <c r="N181" s="31"/>
    </row>
    <row r="182" spans="13:14" x14ac:dyDescent="0.15">
      <c r="M182" s="31"/>
      <c r="N182" s="31"/>
    </row>
    <row r="183" spans="13:14" x14ac:dyDescent="0.15">
      <c r="M183" s="31"/>
      <c r="N183" s="31"/>
    </row>
    <row r="184" spans="13:14" x14ac:dyDescent="0.15">
      <c r="M184" s="31"/>
      <c r="N184" s="31"/>
    </row>
    <row r="185" spans="13:14" x14ac:dyDescent="0.15">
      <c r="M185" s="31"/>
      <c r="N185" s="31"/>
    </row>
    <row r="186" spans="13:14" x14ac:dyDescent="0.15">
      <c r="M186" s="31"/>
      <c r="N186" s="31"/>
    </row>
    <row r="187" spans="13:14" x14ac:dyDescent="0.15">
      <c r="M187" s="31"/>
      <c r="N187" s="31"/>
    </row>
    <row r="188" spans="13:14" x14ac:dyDescent="0.15">
      <c r="M188" s="31"/>
      <c r="N188" s="31"/>
    </row>
    <row r="189" spans="13:14" x14ac:dyDescent="0.15">
      <c r="M189" s="31"/>
      <c r="N189" s="31"/>
    </row>
    <row r="190" spans="13:14" x14ac:dyDescent="0.15">
      <c r="M190" s="31"/>
      <c r="N190" s="31"/>
    </row>
    <row r="191" spans="13:14" x14ac:dyDescent="0.15">
      <c r="M191" s="31"/>
      <c r="N191" s="31"/>
    </row>
    <row r="192" spans="13:14" x14ac:dyDescent="0.15">
      <c r="M192" s="31"/>
      <c r="N192" s="31"/>
    </row>
    <row r="193" spans="13:14" x14ac:dyDescent="0.15">
      <c r="M193" s="31"/>
      <c r="N193" s="31"/>
    </row>
    <row r="194" spans="13:14" x14ac:dyDescent="0.15">
      <c r="M194" s="31"/>
      <c r="N194" s="31"/>
    </row>
    <row r="195" spans="13:14" x14ac:dyDescent="0.15">
      <c r="M195" s="31"/>
      <c r="N195" s="31"/>
    </row>
    <row r="196" spans="13:14" x14ac:dyDescent="0.15">
      <c r="M196" s="31"/>
      <c r="N196" s="31"/>
    </row>
    <row r="197" spans="13:14" x14ac:dyDescent="0.15">
      <c r="M197" s="31"/>
      <c r="N197" s="31"/>
    </row>
    <row r="198" spans="13:14" x14ac:dyDescent="0.15">
      <c r="M198" s="31"/>
      <c r="N198" s="31"/>
    </row>
    <row r="199" spans="13:14" x14ac:dyDescent="0.15">
      <c r="M199" s="31"/>
      <c r="N199" s="31"/>
    </row>
    <row r="200" spans="13:14" x14ac:dyDescent="0.15">
      <c r="M200" s="31"/>
      <c r="N200" s="31"/>
    </row>
    <row r="201" spans="13:14" x14ac:dyDescent="0.15">
      <c r="M201" s="31"/>
      <c r="N201" s="31"/>
    </row>
    <row r="202" spans="13:14" x14ac:dyDescent="0.15">
      <c r="M202" s="31"/>
      <c r="N202" s="31"/>
    </row>
    <row r="203" spans="13:14" x14ac:dyDescent="0.15">
      <c r="M203" s="31"/>
      <c r="N203" s="31"/>
    </row>
    <row r="204" spans="13:14" x14ac:dyDescent="0.15">
      <c r="M204" s="31"/>
      <c r="N204" s="31"/>
    </row>
    <row r="205" spans="13:14" x14ac:dyDescent="0.15">
      <c r="M205" s="31"/>
      <c r="N205" s="31"/>
    </row>
    <row r="206" spans="13:14" x14ac:dyDescent="0.15">
      <c r="M206" s="31"/>
      <c r="N206" s="31"/>
    </row>
    <row r="207" spans="13:14" x14ac:dyDescent="0.15">
      <c r="M207" s="31"/>
      <c r="N207" s="31"/>
    </row>
    <row r="208" spans="13:14" x14ac:dyDescent="0.15">
      <c r="M208" s="31"/>
      <c r="N208" s="31"/>
    </row>
    <row r="209" spans="13:14" x14ac:dyDescent="0.15">
      <c r="M209" s="31"/>
      <c r="N209" s="31"/>
    </row>
    <row r="210" spans="13:14" x14ac:dyDescent="0.15">
      <c r="M210" s="31"/>
      <c r="N210" s="31"/>
    </row>
    <row r="211" spans="13:14" x14ac:dyDescent="0.15">
      <c r="M211" s="31"/>
      <c r="N211" s="31"/>
    </row>
    <row r="212" spans="13:14" x14ac:dyDescent="0.15">
      <c r="M212" s="31"/>
      <c r="N212" s="31"/>
    </row>
    <row r="213" spans="13:14" x14ac:dyDescent="0.15">
      <c r="M213" s="31"/>
      <c r="N213" s="31"/>
    </row>
    <row r="214" spans="13:14" x14ac:dyDescent="0.15">
      <c r="M214" s="31"/>
      <c r="N214" s="31"/>
    </row>
    <row r="215" spans="13:14" x14ac:dyDescent="0.15">
      <c r="M215" s="31"/>
      <c r="N215" s="31"/>
    </row>
    <row r="216" spans="13:14" x14ac:dyDescent="0.15">
      <c r="M216" s="31"/>
      <c r="N216" s="31"/>
    </row>
    <row r="217" spans="13:14" x14ac:dyDescent="0.15">
      <c r="M217" s="31"/>
      <c r="N217" s="31"/>
    </row>
  </sheetData>
  <mergeCells count="113">
    <mergeCell ref="A1:K1"/>
    <mergeCell ref="A8:A9"/>
    <mergeCell ref="A10:A11"/>
    <mergeCell ref="C60:E60"/>
    <mergeCell ref="C61:E61"/>
    <mergeCell ref="C42:D42"/>
    <mergeCell ref="D12:E12"/>
    <mergeCell ref="D18:E18"/>
    <mergeCell ref="D19:E19"/>
    <mergeCell ref="C7:E7"/>
    <mergeCell ref="B3:E3"/>
    <mergeCell ref="C4:E4"/>
    <mergeCell ref="G33:H33"/>
    <mergeCell ref="G32:H32"/>
    <mergeCell ref="G31:H31"/>
    <mergeCell ref="G30:H30"/>
    <mergeCell ref="G29:H29"/>
    <mergeCell ref="C27:E27"/>
    <mergeCell ref="C25:E25"/>
    <mergeCell ref="C5:E5"/>
    <mergeCell ref="G21:H21"/>
    <mergeCell ref="G20:H20"/>
    <mergeCell ref="G19:H19"/>
    <mergeCell ref="G18:H18"/>
    <mergeCell ref="C6:E6"/>
    <mergeCell ref="C14:E14"/>
    <mergeCell ref="C15:E15"/>
    <mergeCell ref="G23:H23"/>
    <mergeCell ref="G22:H22"/>
    <mergeCell ref="C10:E10"/>
    <mergeCell ref="C11:E11"/>
    <mergeCell ref="C8:E8"/>
    <mergeCell ref="C63:D63"/>
    <mergeCell ref="D20:E20"/>
    <mergeCell ref="B13:F13"/>
    <mergeCell ref="B17:F17"/>
    <mergeCell ref="C57:E57"/>
    <mergeCell ref="D38:E38"/>
    <mergeCell ref="D36:E36"/>
    <mergeCell ref="B41:F41"/>
    <mergeCell ref="B54:F54"/>
    <mergeCell ref="C56:E56"/>
    <mergeCell ref="D35:E35"/>
    <mergeCell ref="B34:F34"/>
    <mergeCell ref="B33:F33"/>
    <mergeCell ref="C31:E31"/>
    <mergeCell ref="C30:E30"/>
    <mergeCell ref="C59:E59"/>
    <mergeCell ref="D62:E62"/>
    <mergeCell ref="A68:J68"/>
    <mergeCell ref="A69:J69"/>
    <mergeCell ref="A70:J70"/>
    <mergeCell ref="B39:F39"/>
    <mergeCell ref="C55:E55"/>
    <mergeCell ref="B40:F40"/>
    <mergeCell ref="B64:F64"/>
    <mergeCell ref="A65:F65"/>
    <mergeCell ref="A67:J67"/>
    <mergeCell ref="G54:H54"/>
    <mergeCell ref="G42:H42"/>
    <mergeCell ref="G40:H40"/>
    <mergeCell ref="G57:H57"/>
    <mergeCell ref="G56:H56"/>
    <mergeCell ref="G65:H65"/>
    <mergeCell ref="G64:H64"/>
    <mergeCell ref="G63:H63"/>
    <mergeCell ref="G59:H59"/>
    <mergeCell ref="G58:H58"/>
    <mergeCell ref="G43:H43"/>
    <mergeCell ref="G62:H62"/>
    <mergeCell ref="G53:H53"/>
    <mergeCell ref="G39:H39"/>
    <mergeCell ref="G60:H60"/>
    <mergeCell ref="C44:E44"/>
    <mergeCell ref="C51:E51"/>
    <mergeCell ref="M17:N17"/>
    <mergeCell ref="C9:E9"/>
    <mergeCell ref="C46:E46"/>
    <mergeCell ref="C47:E47"/>
    <mergeCell ref="C48:E48"/>
    <mergeCell ref="C49:E49"/>
    <mergeCell ref="C50:E50"/>
    <mergeCell ref="G46:H46"/>
    <mergeCell ref="G47:H47"/>
    <mergeCell ref="G48:H48"/>
    <mergeCell ref="G49:H49"/>
    <mergeCell ref="G50:H50"/>
    <mergeCell ref="C52:E52"/>
    <mergeCell ref="G52:H52"/>
    <mergeCell ref="G61:H61"/>
    <mergeCell ref="G16:H16"/>
    <mergeCell ref="F8:F9"/>
    <mergeCell ref="B45:F45"/>
    <mergeCell ref="G45:H45"/>
    <mergeCell ref="G44:H44"/>
    <mergeCell ref="G51:H51"/>
    <mergeCell ref="G35:H35"/>
    <mergeCell ref="G34:H34"/>
    <mergeCell ref="G27:H27"/>
    <mergeCell ref="G26:H26"/>
    <mergeCell ref="G25:H25"/>
    <mergeCell ref="G24:H24"/>
    <mergeCell ref="G28:H28"/>
    <mergeCell ref="G14:H14"/>
    <mergeCell ref="G15:H15"/>
    <mergeCell ref="B16:F16"/>
    <mergeCell ref="B53:F53"/>
    <mergeCell ref="G55:H55"/>
    <mergeCell ref="G17:H17"/>
    <mergeCell ref="G13:H13"/>
    <mergeCell ref="G38:H38"/>
    <mergeCell ref="G37:H37"/>
    <mergeCell ref="G36:H36"/>
  </mergeCells>
  <phoneticPr fontId="23" type="noConversion"/>
  <dataValidations xWindow="817" yWindow="210" count="3">
    <dataValidation type="date" operator="notEqual" allowBlank="1" showInputMessage="1" showErrorMessage="1" sqref="B5">
      <formula1>A5</formula1>
    </dataValidation>
    <dataValidation type="date" operator="notEqual" allowBlank="1" showInputMessage="1" showErrorMessage="1" sqref="A5">
      <formula1>B5</formula1>
    </dataValidation>
    <dataValidation type="list" allowBlank="1" showInputMessage="1" showErrorMessage="1" sqref="F38">
      <formula1>"70%, 100%"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xWindow="817" yWindow="210" count="2">
        <x14:dataValidation type="list" allowBlank="1" showInputMessage="1" showErrorMessage="1">
          <x14:formula1>
            <xm:f>'KOTRA 기준단가'!$I$2:$I$7</xm:f>
          </x14:formula1>
          <xm:sqref>B7</xm:sqref>
        </x14:dataValidation>
        <x14:dataValidation type="list" allowBlank="1" showInputMessage="1" showErrorMessage="1">
          <x14:formula1>
            <xm:f>'KOTRA 기준단가'!$B$2:$B$138</xm:f>
          </x14:formula1>
          <xm:sqref>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"/>
  <sheetViews>
    <sheetView workbookViewId="0">
      <selection activeCell="K22" sqref="K22"/>
    </sheetView>
  </sheetViews>
  <sheetFormatPr defaultRowHeight="11.25" x14ac:dyDescent="0.15"/>
  <cols>
    <col min="1" max="1" width="4" style="213" bestFit="1" customWidth="1"/>
    <col min="2" max="2" width="12.21875" style="213" bestFit="1" customWidth="1"/>
    <col min="3" max="3" width="5.88671875" style="213" customWidth="1"/>
    <col min="4" max="4" width="7.5546875" style="209" bestFit="1" customWidth="1"/>
    <col min="5" max="5" width="8.21875" style="209" bestFit="1" customWidth="1"/>
    <col min="6" max="6" width="37.109375" style="209" bestFit="1" customWidth="1"/>
    <col min="7" max="16384" width="8.88671875" style="209"/>
  </cols>
  <sheetData>
    <row r="1" spans="1:10" ht="13.5" customHeight="1" x14ac:dyDescent="0.15">
      <c r="A1" s="212" t="s">
        <v>92</v>
      </c>
      <c r="B1" s="212" t="s">
        <v>235</v>
      </c>
      <c r="C1" s="212" t="s">
        <v>236</v>
      </c>
      <c r="D1" s="42" t="s">
        <v>190</v>
      </c>
      <c r="E1" s="210" t="s">
        <v>407</v>
      </c>
      <c r="F1" s="210" t="s">
        <v>408</v>
      </c>
      <c r="I1" s="216" t="s">
        <v>189</v>
      </c>
      <c r="J1" s="217" t="s">
        <v>383</v>
      </c>
    </row>
    <row r="2" spans="1:10" ht="13.5" customHeight="1" x14ac:dyDescent="0.15">
      <c r="A2" s="212">
        <v>1</v>
      </c>
      <c r="B2" s="214" t="s">
        <v>47</v>
      </c>
      <c r="C2" s="212" t="s">
        <v>403</v>
      </c>
      <c r="D2" s="210">
        <v>290</v>
      </c>
      <c r="E2" s="210">
        <v>165</v>
      </c>
      <c r="F2" s="210"/>
      <c r="I2" s="218" t="s">
        <v>191</v>
      </c>
      <c r="J2" s="219">
        <v>180</v>
      </c>
    </row>
    <row r="3" spans="1:10" ht="13.5" customHeight="1" x14ac:dyDescent="0.15">
      <c r="A3" s="212">
        <v>2</v>
      </c>
      <c r="B3" s="214" t="s">
        <v>102</v>
      </c>
      <c r="C3" s="212" t="s">
        <v>404</v>
      </c>
      <c r="D3" s="210">
        <v>400</v>
      </c>
      <c r="E3" s="210">
        <v>300</v>
      </c>
      <c r="F3" s="210"/>
      <c r="I3" s="218" t="s">
        <v>195</v>
      </c>
      <c r="J3" s="219">
        <v>1370</v>
      </c>
    </row>
    <row r="4" spans="1:10" ht="13.5" customHeight="1" x14ac:dyDescent="0.15">
      <c r="A4" s="212">
        <v>3</v>
      </c>
      <c r="B4" s="214" t="s">
        <v>50</v>
      </c>
      <c r="C4" s="212" t="s">
        <v>404</v>
      </c>
      <c r="D4" s="210">
        <v>380</v>
      </c>
      <c r="E4" s="210">
        <v>230</v>
      </c>
      <c r="F4" s="210"/>
      <c r="I4" s="218" t="s">
        <v>196</v>
      </c>
      <c r="J4" s="219">
        <v>1040</v>
      </c>
    </row>
    <row r="5" spans="1:10" ht="13.5" customHeight="1" x14ac:dyDescent="0.15">
      <c r="A5" s="212">
        <v>4</v>
      </c>
      <c r="B5" s="214" t="s">
        <v>52</v>
      </c>
      <c r="C5" s="212" t="s">
        <v>404</v>
      </c>
      <c r="D5" s="210">
        <v>396</v>
      </c>
      <c r="E5" s="210">
        <v>300</v>
      </c>
      <c r="F5" s="210"/>
      <c r="I5" s="218" t="s">
        <v>197</v>
      </c>
      <c r="J5" s="219">
        <v>1190</v>
      </c>
    </row>
    <row r="6" spans="1:10" ht="13.5" customHeight="1" x14ac:dyDescent="0.15">
      <c r="A6" s="212">
        <v>5</v>
      </c>
      <c r="B6" s="214" t="s">
        <v>103</v>
      </c>
      <c r="C6" s="212" t="s">
        <v>404</v>
      </c>
      <c r="D6" s="210">
        <v>275</v>
      </c>
      <c r="E6" s="210">
        <v>200</v>
      </c>
      <c r="F6" s="210"/>
      <c r="I6" s="218" t="s">
        <v>377</v>
      </c>
      <c r="J6" s="219">
        <v>1500</v>
      </c>
    </row>
    <row r="7" spans="1:10" ht="13.5" customHeight="1" x14ac:dyDescent="0.15">
      <c r="A7" s="212">
        <v>6</v>
      </c>
      <c r="B7" s="214" t="s">
        <v>384</v>
      </c>
      <c r="C7" s="212" t="s">
        <v>404</v>
      </c>
      <c r="D7" s="210">
        <v>250</v>
      </c>
      <c r="E7" s="210">
        <v>220</v>
      </c>
      <c r="F7" s="210"/>
      <c r="I7" s="218" t="s">
        <v>378</v>
      </c>
      <c r="J7" s="219">
        <v>870</v>
      </c>
    </row>
    <row r="8" spans="1:10" ht="13.5" customHeight="1" x14ac:dyDescent="0.15">
      <c r="A8" s="212">
        <v>7</v>
      </c>
      <c r="B8" s="214" t="s">
        <v>104</v>
      </c>
      <c r="C8" s="212" t="s">
        <v>404</v>
      </c>
      <c r="D8" s="210">
        <v>260</v>
      </c>
      <c r="E8" s="210">
        <v>280</v>
      </c>
      <c r="F8" s="210"/>
    </row>
    <row r="9" spans="1:10" ht="13.5" customHeight="1" x14ac:dyDescent="0.15">
      <c r="A9" s="212">
        <v>8</v>
      </c>
      <c r="B9" s="214" t="s">
        <v>105</v>
      </c>
      <c r="C9" s="212" t="s">
        <v>404</v>
      </c>
      <c r="D9" s="210">
        <v>250</v>
      </c>
      <c r="E9" s="210">
        <v>200</v>
      </c>
      <c r="F9" s="210"/>
    </row>
    <row r="10" spans="1:10" ht="13.5" customHeight="1" x14ac:dyDescent="0.15">
      <c r="A10" s="212">
        <v>9</v>
      </c>
      <c r="B10" s="214" t="s">
        <v>385</v>
      </c>
      <c r="C10" s="212" t="s">
        <v>404</v>
      </c>
      <c r="D10" s="210">
        <v>250</v>
      </c>
      <c r="E10" s="210">
        <v>200</v>
      </c>
      <c r="F10" s="210"/>
    </row>
    <row r="11" spans="1:10" ht="13.5" customHeight="1" x14ac:dyDescent="0.15">
      <c r="A11" s="212">
        <v>10</v>
      </c>
      <c r="B11" s="214" t="s">
        <v>106</v>
      </c>
      <c r="C11" s="212" t="s">
        <v>404</v>
      </c>
      <c r="D11" s="210">
        <v>336</v>
      </c>
      <c r="E11" s="210">
        <v>200</v>
      </c>
      <c r="F11" s="210"/>
    </row>
    <row r="12" spans="1:10" ht="13.5" customHeight="1" x14ac:dyDescent="0.15">
      <c r="A12" s="212">
        <v>11</v>
      </c>
      <c r="B12" s="214" t="s">
        <v>107</v>
      </c>
      <c r="C12" s="212" t="s">
        <v>404</v>
      </c>
      <c r="D12" s="210">
        <v>250</v>
      </c>
      <c r="E12" s="210">
        <v>200</v>
      </c>
      <c r="F12" s="210"/>
    </row>
    <row r="13" spans="1:10" ht="13.5" customHeight="1" x14ac:dyDescent="0.15">
      <c r="A13" s="212">
        <v>12</v>
      </c>
      <c r="B13" s="214" t="s">
        <v>108</v>
      </c>
      <c r="C13" s="212" t="s">
        <v>404</v>
      </c>
      <c r="D13" s="210">
        <v>250</v>
      </c>
      <c r="E13" s="210">
        <v>200</v>
      </c>
      <c r="F13" s="210"/>
    </row>
    <row r="14" spans="1:10" ht="13.5" customHeight="1" x14ac:dyDescent="0.15">
      <c r="A14" s="212">
        <v>13</v>
      </c>
      <c r="B14" s="214" t="s">
        <v>109</v>
      </c>
      <c r="C14" s="212" t="s">
        <v>74</v>
      </c>
      <c r="D14" s="210">
        <v>340</v>
      </c>
      <c r="E14" s="210">
        <v>395</v>
      </c>
      <c r="F14" s="210"/>
    </row>
    <row r="15" spans="1:10" ht="13.5" customHeight="1" x14ac:dyDescent="0.15">
      <c r="A15" s="212">
        <v>14</v>
      </c>
      <c r="B15" s="214" t="s">
        <v>110</v>
      </c>
      <c r="C15" s="212" t="s">
        <v>404</v>
      </c>
      <c r="D15" s="210">
        <v>260</v>
      </c>
      <c r="E15" s="210">
        <v>200</v>
      </c>
      <c r="F15" s="210"/>
    </row>
    <row r="16" spans="1:10" ht="13.5" customHeight="1" x14ac:dyDescent="0.15">
      <c r="A16" s="212">
        <v>15</v>
      </c>
      <c r="B16" s="214" t="s">
        <v>89</v>
      </c>
      <c r="C16" s="212" t="s">
        <v>404</v>
      </c>
      <c r="D16" s="210">
        <v>300</v>
      </c>
      <c r="E16" s="210">
        <v>220</v>
      </c>
      <c r="F16" s="210"/>
    </row>
    <row r="17" spans="1:6" ht="13.5" customHeight="1" x14ac:dyDescent="0.15">
      <c r="A17" s="212">
        <v>16</v>
      </c>
      <c r="B17" s="214" t="s">
        <v>111</v>
      </c>
      <c r="C17" s="212" t="s">
        <v>404</v>
      </c>
      <c r="D17" s="210">
        <v>275</v>
      </c>
      <c r="E17" s="210">
        <v>200</v>
      </c>
      <c r="F17" s="210"/>
    </row>
    <row r="18" spans="1:6" ht="13.5" customHeight="1" x14ac:dyDescent="0.15">
      <c r="A18" s="212">
        <v>17</v>
      </c>
      <c r="B18" s="214" t="s">
        <v>386</v>
      </c>
      <c r="C18" s="212" t="s">
        <v>405</v>
      </c>
      <c r="D18" s="210">
        <v>444</v>
      </c>
      <c r="E18" s="210">
        <v>400</v>
      </c>
      <c r="F18" s="210"/>
    </row>
    <row r="19" spans="1:6" ht="13.5" customHeight="1" x14ac:dyDescent="0.15">
      <c r="A19" s="212">
        <v>18</v>
      </c>
      <c r="B19" s="215" t="s">
        <v>184</v>
      </c>
      <c r="C19" s="43" t="s">
        <v>195</v>
      </c>
      <c r="D19" s="210">
        <v>380</v>
      </c>
      <c r="E19" s="210">
        <v>200</v>
      </c>
      <c r="F19" s="44" t="s">
        <v>198</v>
      </c>
    </row>
    <row r="20" spans="1:6" ht="13.5" customHeight="1" x14ac:dyDescent="0.15">
      <c r="A20" s="212">
        <v>19</v>
      </c>
      <c r="B20" s="215" t="s">
        <v>176</v>
      </c>
      <c r="C20" s="43" t="s">
        <v>195</v>
      </c>
      <c r="D20" s="210">
        <v>380</v>
      </c>
      <c r="E20" s="210">
        <v>200</v>
      </c>
      <c r="F20" s="44" t="s">
        <v>198</v>
      </c>
    </row>
    <row r="21" spans="1:6" ht="13.5" customHeight="1" x14ac:dyDescent="0.15">
      <c r="A21" s="212">
        <v>20</v>
      </c>
      <c r="B21" s="215" t="s">
        <v>185</v>
      </c>
      <c r="C21" s="43" t="s">
        <v>195</v>
      </c>
      <c r="D21" s="210">
        <v>380</v>
      </c>
      <c r="E21" s="210">
        <v>200</v>
      </c>
      <c r="F21" s="44" t="s">
        <v>198</v>
      </c>
    </row>
    <row r="22" spans="1:6" ht="13.5" customHeight="1" x14ac:dyDescent="0.15">
      <c r="A22" s="212">
        <v>21</v>
      </c>
      <c r="B22" s="215" t="s">
        <v>186</v>
      </c>
      <c r="C22" s="43" t="s">
        <v>195</v>
      </c>
      <c r="D22" s="210">
        <v>380</v>
      </c>
      <c r="E22" s="210">
        <v>200</v>
      </c>
      <c r="F22" s="44" t="s">
        <v>198</v>
      </c>
    </row>
    <row r="23" spans="1:6" ht="13.5" customHeight="1" x14ac:dyDescent="0.15">
      <c r="A23" s="212">
        <v>22</v>
      </c>
      <c r="B23" s="214" t="s">
        <v>112</v>
      </c>
      <c r="C23" s="212" t="s">
        <v>74</v>
      </c>
      <c r="D23" s="210">
        <v>340</v>
      </c>
      <c r="E23" s="210">
        <v>390</v>
      </c>
      <c r="F23" s="210"/>
    </row>
    <row r="24" spans="1:6" ht="13.5" customHeight="1" x14ac:dyDescent="0.15">
      <c r="A24" s="212">
        <v>23</v>
      </c>
      <c r="B24" s="214" t="s">
        <v>49</v>
      </c>
      <c r="C24" s="212" t="s">
        <v>404</v>
      </c>
      <c r="D24" s="210">
        <v>330</v>
      </c>
      <c r="E24" s="210">
        <v>220</v>
      </c>
      <c r="F24" s="210"/>
    </row>
    <row r="25" spans="1:6" ht="13.5" customHeight="1" x14ac:dyDescent="0.15">
      <c r="A25" s="212">
        <v>24</v>
      </c>
      <c r="B25" s="214" t="s">
        <v>113</v>
      </c>
      <c r="C25" s="212" t="s">
        <v>404</v>
      </c>
      <c r="D25" s="210">
        <v>260</v>
      </c>
      <c r="E25" s="210">
        <v>200</v>
      </c>
      <c r="F25" s="210"/>
    </row>
    <row r="26" spans="1:6" ht="13.5" customHeight="1" x14ac:dyDescent="0.15">
      <c r="A26" s="212">
        <v>25</v>
      </c>
      <c r="B26" s="214" t="s">
        <v>48</v>
      </c>
      <c r="C26" s="212" t="s">
        <v>404</v>
      </c>
      <c r="D26" s="210">
        <v>380</v>
      </c>
      <c r="E26" s="210">
        <v>200</v>
      </c>
      <c r="F26" s="210"/>
    </row>
    <row r="27" spans="1:6" ht="13.5" customHeight="1" x14ac:dyDescent="0.15">
      <c r="A27" s="212">
        <v>26</v>
      </c>
      <c r="B27" s="214" t="s">
        <v>51</v>
      </c>
      <c r="C27" s="212" t="s">
        <v>404</v>
      </c>
      <c r="D27" s="210">
        <v>380</v>
      </c>
      <c r="E27" s="210">
        <v>210</v>
      </c>
      <c r="F27" s="210"/>
    </row>
    <row r="28" spans="1:6" ht="13.5" customHeight="1" x14ac:dyDescent="0.15">
      <c r="A28" s="212">
        <v>27</v>
      </c>
      <c r="B28" s="214" t="s">
        <v>114</v>
      </c>
      <c r="C28" s="212" t="s">
        <v>404</v>
      </c>
      <c r="D28" s="210">
        <v>330</v>
      </c>
      <c r="E28" s="210">
        <v>225</v>
      </c>
      <c r="F28" s="210"/>
    </row>
    <row r="29" spans="1:6" ht="13.5" customHeight="1" x14ac:dyDescent="0.15">
      <c r="A29" s="212">
        <v>28</v>
      </c>
      <c r="B29" s="215" t="s">
        <v>187</v>
      </c>
      <c r="C29" s="43" t="s">
        <v>195</v>
      </c>
      <c r="D29" s="210">
        <v>396</v>
      </c>
      <c r="E29" s="210">
        <v>300</v>
      </c>
      <c r="F29" s="210" t="s">
        <v>409</v>
      </c>
    </row>
    <row r="30" spans="1:6" ht="13.5" customHeight="1" x14ac:dyDescent="0.15">
      <c r="A30" s="212">
        <v>29</v>
      </c>
      <c r="B30" s="214" t="s">
        <v>41</v>
      </c>
      <c r="C30" s="212" t="s">
        <v>74</v>
      </c>
      <c r="D30" s="210">
        <v>516</v>
      </c>
      <c r="E30" s="210">
        <v>350</v>
      </c>
      <c r="F30" s="210"/>
    </row>
    <row r="31" spans="1:6" ht="13.5" customHeight="1" x14ac:dyDescent="0.15">
      <c r="A31" s="212">
        <v>30</v>
      </c>
      <c r="B31" s="214" t="s">
        <v>115</v>
      </c>
      <c r="C31" s="212" t="s">
        <v>74</v>
      </c>
      <c r="D31" s="210">
        <v>516</v>
      </c>
      <c r="E31" s="210">
        <v>300</v>
      </c>
      <c r="F31" s="210"/>
    </row>
    <row r="32" spans="1:6" ht="13.5" customHeight="1" x14ac:dyDescent="0.15">
      <c r="A32" s="212">
        <v>31</v>
      </c>
      <c r="B32" s="214" t="s">
        <v>44</v>
      </c>
      <c r="C32" s="212" t="s">
        <v>74</v>
      </c>
      <c r="D32" s="210">
        <v>516</v>
      </c>
      <c r="E32" s="210">
        <v>300</v>
      </c>
      <c r="F32" s="210"/>
    </row>
    <row r="33" spans="1:6" ht="13.5" customHeight="1" x14ac:dyDescent="0.15">
      <c r="A33" s="212">
        <v>32</v>
      </c>
      <c r="B33" s="214" t="s">
        <v>99</v>
      </c>
      <c r="C33" s="212" t="s">
        <v>74</v>
      </c>
      <c r="D33" s="210">
        <v>516</v>
      </c>
      <c r="E33" s="210">
        <v>500</v>
      </c>
      <c r="F33" s="210"/>
    </row>
    <row r="34" spans="1:6" ht="13.5" customHeight="1" x14ac:dyDescent="0.15">
      <c r="A34" s="212">
        <v>33</v>
      </c>
      <c r="B34" s="215" t="s">
        <v>188</v>
      </c>
      <c r="C34" s="43" t="s">
        <v>197</v>
      </c>
      <c r="D34" s="210">
        <v>516</v>
      </c>
      <c r="E34" s="210">
        <v>500</v>
      </c>
      <c r="F34" s="44" t="s">
        <v>222</v>
      </c>
    </row>
    <row r="35" spans="1:6" ht="13.5" customHeight="1" x14ac:dyDescent="0.15">
      <c r="A35" s="212">
        <v>34</v>
      </c>
      <c r="B35" s="215" t="s">
        <v>175</v>
      </c>
      <c r="C35" s="43" t="s">
        <v>197</v>
      </c>
      <c r="D35" s="210">
        <v>516</v>
      </c>
      <c r="E35" s="210">
        <v>500</v>
      </c>
      <c r="F35" s="44" t="s">
        <v>222</v>
      </c>
    </row>
    <row r="36" spans="1:6" ht="13.5" customHeight="1" x14ac:dyDescent="0.15">
      <c r="A36" s="212">
        <v>35</v>
      </c>
      <c r="B36" s="215" t="s">
        <v>174</v>
      </c>
      <c r="C36" s="43" t="s">
        <v>197</v>
      </c>
      <c r="D36" s="210">
        <v>516</v>
      </c>
      <c r="E36" s="210">
        <v>300</v>
      </c>
      <c r="F36" s="44" t="s">
        <v>223</v>
      </c>
    </row>
    <row r="37" spans="1:6" ht="13.5" customHeight="1" x14ac:dyDescent="0.15">
      <c r="A37" s="212">
        <v>36</v>
      </c>
      <c r="B37" s="214" t="s">
        <v>387</v>
      </c>
      <c r="C37" s="212" t="s">
        <v>406</v>
      </c>
      <c r="D37" s="210">
        <v>480</v>
      </c>
      <c r="E37" s="210">
        <v>400</v>
      </c>
      <c r="F37" s="210"/>
    </row>
    <row r="38" spans="1:6" ht="13.5" customHeight="1" x14ac:dyDescent="0.15">
      <c r="A38" s="212">
        <v>37</v>
      </c>
      <c r="B38" s="214" t="s">
        <v>43</v>
      </c>
      <c r="C38" s="212" t="s">
        <v>74</v>
      </c>
      <c r="D38" s="210">
        <v>516</v>
      </c>
      <c r="E38" s="210">
        <v>380</v>
      </c>
      <c r="F38" s="210"/>
    </row>
    <row r="39" spans="1:6" ht="13.5" customHeight="1" x14ac:dyDescent="0.15">
      <c r="A39" s="212">
        <v>38</v>
      </c>
      <c r="B39" s="214" t="s">
        <v>116</v>
      </c>
      <c r="C39" s="212" t="s">
        <v>74</v>
      </c>
      <c r="D39" s="210">
        <v>516</v>
      </c>
      <c r="E39" s="210">
        <v>300</v>
      </c>
      <c r="F39" s="210"/>
    </row>
    <row r="40" spans="1:6" ht="13.5" customHeight="1" x14ac:dyDescent="0.15">
      <c r="A40" s="212">
        <v>39</v>
      </c>
      <c r="B40" s="214" t="s">
        <v>45</v>
      </c>
      <c r="C40" s="212" t="s">
        <v>74</v>
      </c>
      <c r="D40" s="210">
        <v>516</v>
      </c>
      <c r="E40" s="210">
        <v>320</v>
      </c>
      <c r="F40" s="210"/>
    </row>
    <row r="41" spans="1:6" ht="13.5" customHeight="1" x14ac:dyDescent="0.15">
      <c r="A41" s="212">
        <v>40</v>
      </c>
      <c r="B41" s="214" t="s">
        <v>388</v>
      </c>
      <c r="C41" s="212" t="s">
        <v>406</v>
      </c>
      <c r="D41" s="210">
        <v>480</v>
      </c>
      <c r="E41" s="210">
        <v>400</v>
      </c>
      <c r="F41" s="210"/>
    </row>
    <row r="42" spans="1:6" ht="13.5" customHeight="1" x14ac:dyDescent="0.15">
      <c r="A42" s="212">
        <v>41</v>
      </c>
      <c r="B42" s="214" t="s">
        <v>143</v>
      </c>
      <c r="C42" s="212" t="s">
        <v>74</v>
      </c>
      <c r="D42" s="210">
        <v>250</v>
      </c>
      <c r="E42" s="210">
        <v>240</v>
      </c>
      <c r="F42" s="210"/>
    </row>
    <row r="43" spans="1:6" ht="13.5" customHeight="1" x14ac:dyDescent="0.15">
      <c r="A43" s="212">
        <v>42</v>
      </c>
      <c r="B43" s="214" t="s">
        <v>144</v>
      </c>
      <c r="C43" s="212" t="s">
        <v>74</v>
      </c>
      <c r="D43" s="210">
        <v>198</v>
      </c>
      <c r="E43" s="210">
        <v>210</v>
      </c>
      <c r="F43" s="210"/>
    </row>
    <row r="44" spans="1:6" ht="13.5" customHeight="1" x14ac:dyDescent="0.15">
      <c r="A44" s="212">
        <v>43</v>
      </c>
      <c r="B44" s="214" t="s">
        <v>56</v>
      </c>
      <c r="C44" s="212" t="s">
        <v>74</v>
      </c>
      <c r="D44" s="210">
        <v>300</v>
      </c>
      <c r="E44" s="210">
        <v>242</v>
      </c>
      <c r="F44" s="210"/>
    </row>
    <row r="45" spans="1:6" ht="13.5" customHeight="1" x14ac:dyDescent="0.15">
      <c r="A45" s="212">
        <v>44</v>
      </c>
      <c r="B45" s="214" t="s">
        <v>146</v>
      </c>
      <c r="C45" s="212" t="s">
        <v>74</v>
      </c>
      <c r="D45" s="210">
        <v>198</v>
      </c>
      <c r="E45" s="210">
        <v>200</v>
      </c>
      <c r="F45" s="210"/>
    </row>
    <row r="46" spans="1:6" ht="13.5" customHeight="1" x14ac:dyDescent="0.15">
      <c r="A46" s="212">
        <v>45</v>
      </c>
      <c r="B46" s="214" t="s">
        <v>147</v>
      </c>
      <c r="C46" s="212" t="s">
        <v>74</v>
      </c>
      <c r="D46" s="210">
        <v>250</v>
      </c>
      <c r="E46" s="210">
        <v>227</v>
      </c>
      <c r="F46" s="210"/>
    </row>
    <row r="47" spans="1:6" ht="13.5" customHeight="1" x14ac:dyDescent="0.15">
      <c r="A47" s="212">
        <v>46</v>
      </c>
      <c r="B47" s="214" t="s">
        <v>148</v>
      </c>
      <c r="C47" s="212" t="s">
        <v>74</v>
      </c>
      <c r="D47" s="210">
        <v>190</v>
      </c>
      <c r="E47" s="210">
        <v>200</v>
      </c>
      <c r="F47" s="210"/>
    </row>
    <row r="48" spans="1:6" ht="13.5" customHeight="1" x14ac:dyDescent="0.15">
      <c r="A48" s="212">
        <v>47</v>
      </c>
      <c r="B48" s="214" t="s">
        <v>149</v>
      </c>
      <c r="C48" s="212" t="s">
        <v>74</v>
      </c>
      <c r="D48" s="210">
        <v>250</v>
      </c>
      <c r="E48" s="210">
        <v>207</v>
      </c>
      <c r="F48" s="210"/>
    </row>
    <row r="49" spans="1:6" ht="13.5" customHeight="1" x14ac:dyDescent="0.15">
      <c r="A49" s="212">
        <v>48</v>
      </c>
      <c r="B49" s="214" t="s">
        <v>87</v>
      </c>
      <c r="C49" s="212" t="s">
        <v>74</v>
      </c>
      <c r="D49" s="210">
        <v>330</v>
      </c>
      <c r="E49" s="210">
        <v>245</v>
      </c>
      <c r="F49" s="210"/>
    </row>
    <row r="50" spans="1:6" ht="13.5" customHeight="1" x14ac:dyDescent="0.15">
      <c r="A50" s="212">
        <v>49</v>
      </c>
      <c r="B50" s="214" t="s">
        <v>389</v>
      </c>
      <c r="C50" s="212" t="s">
        <v>406</v>
      </c>
      <c r="D50" s="210">
        <v>330</v>
      </c>
      <c r="E50" s="210">
        <v>200</v>
      </c>
      <c r="F50" s="210"/>
    </row>
    <row r="51" spans="1:6" ht="13.5" customHeight="1" x14ac:dyDescent="0.15">
      <c r="A51" s="212">
        <v>50</v>
      </c>
      <c r="B51" s="214" t="s">
        <v>150</v>
      </c>
      <c r="C51" s="212" t="s">
        <v>74</v>
      </c>
      <c r="D51" s="210">
        <v>165</v>
      </c>
      <c r="E51" s="210">
        <v>160</v>
      </c>
      <c r="F51" s="210"/>
    </row>
    <row r="52" spans="1:6" ht="13.5" customHeight="1" x14ac:dyDescent="0.15">
      <c r="A52" s="212">
        <v>51</v>
      </c>
      <c r="B52" s="214" t="s">
        <v>151</v>
      </c>
      <c r="C52" s="212" t="s">
        <v>74</v>
      </c>
      <c r="D52" s="210">
        <v>165</v>
      </c>
      <c r="E52" s="210">
        <v>250</v>
      </c>
      <c r="F52" s="210"/>
    </row>
    <row r="53" spans="1:6" ht="13.5" customHeight="1" x14ac:dyDescent="0.15">
      <c r="A53" s="212">
        <v>52</v>
      </c>
      <c r="B53" s="214" t="s">
        <v>55</v>
      </c>
      <c r="C53" s="212" t="s">
        <v>74</v>
      </c>
      <c r="D53" s="210">
        <v>275</v>
      </c>
      <c r="E53" s="210">
        <v>250</v>
      </c>
      <c r="F53" s="210"/>
    </row>
    <row r="54" spans="1:6" ht="13.5" customHeight="1" x14ac:dyDescent="0.15">
      <c r="A54" s="212">
        <v>53</v>
      </c>
      <c r="B54" s="214" t="s">
        <v>65</v>
      </c>
      <c r="C54" s="212" t="s">
        <v>74</v>
      </c>
      <c r="D54" s="210">
        <v>253</v>
      </c>
      <c r="E54" s="210">
        <v>253</v>
      </c>
      <c r="F54" s="210"/>
    </row>
    <row r="55" spans="1:6" ht="13.5" customHeight="1" x14ac:dyDescent="0.15">
      <c r="A55" s="212">
        <v>54</v>
      </c>
      <c r="B55" s="214" t="s">
        <v>390</v>
      </c>
      <c r="C55" s="212" t="s">
        <v>74</v>
      </c>
      <c r="D55" s="210">
        <v>216</v>
      </c>
      <c r="E55" s="210">
        <v>216</v>
      </c>
      <c r="F55" s="210"/>
    </row>
    <row r="56" spans="1:6" ht="13.5" customHeight="1" x14ac:dyDescent="0.15">
      <c r="A56" s="212">
        <v>55</v>
      </c>
      <c r="B56" s="214" t="s">
        <v>86</v>
      </c>
      <c r="C56" s="212" t="s">
        <v>74</v>
      </c>
      <c r="D56" s="210">
        <v>130</v>
      </c>
      <c r="E56" s="210">
        <v>130</v>
      </c>
      <c r="F56" s="210"/>
    </row>
    <row r="57" spans="1:6" ht="13.5" customHeight="1" x14ac:dyDescent="0.15">
      <c r="A57" s="212">
        <v>56</v>
      </c>
      <c r="B57" s="214" t="s">
        <v>117</v>
      </c>
      <c r="C57" s="212" t="s">
        <v>74</v>
      </c>
      <c r="D57" s="210">
        <v>170</v>
      </c>
      <c r="E57" s="210">
        <v>170</v>
      </c>
      <c r="F57" s="210"/>
    </row>
    <row r="58" spans="1:6" ht="13.5" customHeight="1" x14ac:dyDescent="0.15">
      <c r="A58" s="212">
        <v>57</v>
      </c>
      <c r="B58" s="214" t="s">
        <v>391</v>
      </c>
      <c r="C58" s="212" t="s">
        <v>399</v>
      </c>
      <c r="D58" s="210">
        <v>576</v>
      </c>
      <c r="E58" s="210">
        <v>576</v>
      </c>
      <c r="F58" s="210"/>
    </row>
    <row r="59" spans="1:6" ht="13.5" customHeight="1" x14ac:dyDescent="0.15">
      <c r="A59" s="212">
        <v>58</v>
      </c>
      <c r="B59" s="214" t="s">
        <v>66</v>
      </c>
      <c r="C59" s="212" t="s">
        <v>74</v>
      </c>
      <c r="D59" s="210">
        <v>253</v>
      </c>
      <c r="E59" s="210">
        <v>253</v>
      </c>
      <c r="F59" s="210"/>
    </row>
    <row r="60" spans="1:6" ht="13.5" customHeight="1" x14ac:dyDescent="0.15">
      <c r="A60" s="212">
        <v>59</v>
      </c>
      <c r="B60" s="214" t="s">
        <v>61</v>
      </c>
      <c r="C60" s="212" t="s">
        <v>74</v>
      </c>
      <c r="D60" s="210">
        <v>200</v>
      </c>
      <c r="E60" s="210">
        <v>200</v>
      </c>
      <c r="F60" s="210"/>
    </row>
    <row r="61" spans="1:6" ht="13.5" customHeight="1" x14ac:dyDescent="0.15">
      <c r="A61" s="212">
        <v>60</v>
      </c>
      <c r="B61" s="214" t="s">
        <v>118</v>
      </c>
      <c r="C61" s="212" t="s">
        <v>74</v>
      </c>
      <c r="D61" s="210">
        <v>253</v>
      </c>
      <c r="E61" s="210">
        <v>253</v>
      </c>
      <c r="F61" s="210"/>
    </row>
    <row r="62" spans="1:6" ht="13.5" customHeight="1" x14ac:dyDescent="0.15">
      <c r="A62" s="212">
        <v>61</v>
      </c>
      <c r="B62" s="214" t="s">
        <v>119</v>
      </c>
      <c r="C62" s="212" t="s">
        <v>74</v>
      </c>
      <c r="D62" s="210">
        <v>120</v>
      </c>
      <c r="E62" s="210">
        <v>120</v>
      </c>
      <c r="F62" s="210"/>
    </row>
    <row r="63" spans="1:6" ht="13.5" customHeight="1" x14ac:dyDescent="0.15">
      <c r="A63" s="212">
        <v>62</v>
      </c>
      <c r="B63" s="214" t="s">
        <v>120</v>
      </c>
      <c r="C63" s="212" t="s">
        <v>74</v>
      </c>
      <c r="D63" s="210">
        <v>170</v>
      </c>
      <c r="E63" s="210">
        <v>170</v>
      </c>
      <c r="F63" s="210"/>
    </row>
    <row r="64" spans="1:6" ht="13.5" customHeight="1" x14ac:dyDescent="0.15">
      <c r="A64" s="212">
        <v>63</v>
      </c>
      <c r="B64" s="214" t="s">
        <v>392</v>
      </c>
      <c r="C64" s="212" t="s">
        <v>399</v>
      </c>
      <c r="D64" s="210">
        <v>576</v>
      </c>
      <c r="E64" s="210">
        <v>576</v>
      </c>
      <c r="F64" s="210"/>
    </row>
    <row r="65" spans="1:6" ht="13.5" customHeight="1" x14ac:dyDescent="0.15">
      <c r="A65" s="212">
        <v>64</v>
      </c>
      <c r="B65" s="214" t="s">
        <v>59</v>
      </c>
      <c r="C65" s="212" t="s">
        <v>400</v>
      </c>
      <c r="D65" s="210">
        <v>420</v>
      </c>
      <c r="E65" s="210">
        <v>420</v>
      </c>
      <c r="F65" s="210"/>
    </row>
    <row r="66" spans="1:6" ht="13.5" customHeight="1" x14ac:dyDescent="0.15">
      <c r="A66" s="212">
        <v>65</v>
      </c>
      <c r="B66" s="214" t="s">
        <v>393</v>
      </c>
      <c r="C66" s="212" t="s">
        <v>74</v>
      </c>
      <c r="D66" s="210">
        <v>253</v>
      </c>
      <c r="E66" s="210">
        <v>253</v>
      </c>
      <c r="F66" s="210"/>
    </row>
    <row r="67" spans="1:6" ht="13.5" customHeight="1" x14ac:dyDescent="0.15">
      <c r="A67" s="212">
        <v>66</v>
      </c>
      <c r="B67" s="214" t="s">
        <v>64</v>
      </c>
      <c r="C67" s="212" t="s">
        <v>74</v>
      </c>
      <c r="D67" s="210">
        <v>150</v>
      </c>
      <c r="E67" s="210">
        <v>150</v>
      </c>
      <c r="F67" s="210"/>
    </row>
    <row r="68" spans="1:6" ht="13.5" customHeight="1" x14ac:dyDescent="0.15">
      <c r="A68" s="212">
        <v>67</v>
      </c>
      <c r="B68" s="214" t="s">
        <v>121</v>
      </c>
      <c r="C68" s="212" t="s">
        <v>74</v>
      </c>
      <c r="D68" s="210">
        <v>413</v>
      </c>
      <c r="E68" s="210">
        <v>413</v>
      </c>
      <c r="F68" s="210"/>
    </row>
    <row r="69" spans="1:6" ht="13.5" customHeight="1" x14ac:dyDescent="0.15">
      <c r="A69" s="212">
        <v>68</v>
      </c>
      <c r="B69" s="214" t="s">
        <v>122</v>
      </c>
      <c r="C69" s="212" t="s">
        <v>74</v>
      </c>
      <c r="D69" s="210">
        <v>170</v>
      </c>
      <c r="E69" s="210">
        <v>170</v>
      </c>
      <c r="F69" s="210"/>
    </row>
    <row r="70" spans="1:6" ht="13.5" customHeight="1" x14ac:dyDescent="0.15">
      <c r="A70" s="212">
        <v>69</v>
      </c>
      <c r="B70" s="214" t="s">
        <v>123</v>
      </c>
      <c r="C70" s="212" t="s">
        <v>74</v>
      </c>
      <c r="D70" s="210">
        <v>253</v>
      </c>
      <c r="E70" s="210">
        <v>253</v>
      </c>
      <c r="F70" s="210"/>
    </row>
    <row r="71" spans="1:6" ht="13.5" customHeight="1" x14ac:dyDescent="0.15">
      <c r="A71" s="212">
        <v>70</v>
      </c>
      <c r="B71" s="214" t="s">
        <v>124</v>
      </c>
      <c r="C71" s="212" t="s">
        <v>74</v>
      </c>
      <c r="D71" s="210">
        <v>144</v>
      </c>
      <c r="E71" s="210">
        <v>144</v>
      </c>
      <c r="F71" s="210"/>
    </row>
    <row r="72" spans="1:6" ht="13.5" customHeight="1" x14ac:dyDescent="0.15">
      <c r="A72" s="212">
        <v>71</v>
      </c>
      <c r="B72" s="214" t="s">
        <v>125</v>
      </c>
      <c r="C72" s="212" t="s">
        <v>74</v>
      </c>
      <c r="D72" s="210">
        <v>170</v>
      </c>
      <c r="E72" s="210">
        <v>170</v>
      </c>
      <c r="F72" s="210"/>
    </row>
    <row r="73" spans="1:6" ht="13.5" customHeight="1" x14ac:dyDescent="0.15">
      <c r="A73" s="212">
        <v>72</v>
      </c>
      <c r="B73" s="214" t="s">
        <v>394</v>
      </c>
      <c r="C73" s="212" t="s">
        <v>74</v>
      </c>
      <c r="D73" s="210">
        <v>253</v>
      </c>
      <c r="E73" s="210">
        <v>253</v>
      </c>
      <c r="F73" s="210"/>
    </row>
    <row r="74" spans="1:6" ht="13.5" customHeight="1" x14ac:dyDescent="0.15">
      <c r="A74" s="212">
        <v>73</v>
      </c>
      <c r="B74" s="214" t="s">
        <v>60</v>
      </c>
      <c r="C74" s="212" t="s">
        <v>74</v>
      </c>
      <c r="D74" s="210">
        <v>220</v>
      </c>
      <c r="E74" s="210">
        <v>220</v>
      </c>
      <c r="F74" s="210"/>
    </row>
    <row r="75" spans="1:6" ht="13.5" customHeight="1" x14ac:dyDescent="0.15">
      <c r="A75" s="212">
        <v>74</v>
      </c>
      <c r="B75" s="214" t="s">
        <v>126</v>
      </c>
      <c r="C75" s="212" t="s">
        <v>74</v>
      </c>
      <c r="D75" s="210">
        <v>120</v>
      </c>
      <c r="E75" s="210">
        <v>120</v>
      </c>
      <c r="F75" s="210"/>
    </row>
    <row r="76" spans="1:6" ht="13.5" customHeight="1" x14ac:dyDescent="0.15">
      <c r="A76" s="212">
        <v>75</v>
      </c>
      <c r="B76" s="214" t="s">
        <v>63</v>
      </c>
      <c r="C76" s="212" t="s">
        <v>74</v>
      </c>
      <c r="D76" s="210">
        <v>216</v>
      </c>
      <c r="E76" s="210">
        <v>216</v>
      </c>
      <c r="F76" s="210"/>
    </row>
    <row r="77" spans="1:6" ht="13.5" customHeight="1" x14ac:dyDescent="0.15">
      <c r="A77" s="212">
        <v>76</v>
      </c>
      <c r="B77" s="214" t="s">
        <v>62</v>
      </c>
      <c r="C77" s="212" t="s">
        <v>74</v>
      </c>
      <c r="D77" s="210">
        <v>216</v>
      </c>
      <c r="E77" s="210">
        <v>216</v>
      </c>
      <c r="F77" s="210"/>
    </row>
    <row r="78" spans="1:6" ht="13.5" customHeight="1" x14ac:dyDescent="0.15">
      <c r="A78" s="212">
        <v>77</v>
      </c>
      <c r="B78" s="214" t="s">
        <v>127</v>
      </c>
      <c r="C78" s="212" t="s">
        <v>401</v>
      </c>
      <c r="D78" s="211">
        <v>39600</v>
      </c>
      <c r="E78" s="211">
        <v>39600</v>
      </c>
      <c r="F78" s="210"/>
    </row>
    <row r="79" spans="1:6" ht="13.5" customHeight="1" x14ac:dyDescent="0.15">
      <c r="A79" s="212">
        <v>78</v>
      </c>
      <c r="B79" s="214" t="s">
        <v>395</v>
      </c>
      <c r="C79" s="212" t="s">
        <v>401</v>
      </c>
      <c r="D79" s="211">
        <v>39600</v>
      </c>
      <c r="E79" s="211">
        <v>39600</v>
      </c>
      <c r="F79" s="210"/>
    </row>
    <row r="80" spans="1:6" ht="13.5" customHeight="1" x14ac:dyDescent="0.15">
      <c r="A80" s="212">
        <v>79</v>
      </c>
      <c r="B80" s="214" t="s">
        <v>128</v>
      </c>
      <c r="C80" s="212" t="s">
        <v>401</v>
      </c>
      <c r="D80" s="211">
        <v>39600</v>
      </c>
      <c r="E80" s="211">
        <v>39600</v>
      </c>
      <c r="F80" s="210"/>
    </row>
    <row r="81" spans="1:6" ht="13.5" customHeight="1" x14ac:dyDescent="0.15">
      <c r="A81" s="212">
        <v>80</v>
      </c>
      <c r="B81" s="214" t="s">
        <v>129</v>
      </c>
      <c r="C81" s="212" t="s">
        <v>401</v>
      </c>
      <c r="D81" s="211">
        <v>39600</v>
      </c>
      <c r="E81" s="211">
        <v>39600</v>
      </c>
      <c r="F81" s="210"/>
    </row>
    <row r="82" spans="1:6" ht="13.5" customHeight="1" x14ac:dyDescent="0.15">
      <c r="A82" s="212">
        <v>81</v>
      </c>
      <c r="B82" s="214" t="s">
        <v>39</v>
      </c>
      <c r="C82" s="212" t="s">
        <v>402</v>
      </c>
      <c r="D82" s="211">
        <v>1380</v>
      </c>
      <c r="E82" s="211">
        <v>1380</v>
      </c>
      <c r="F82" s="210"/>
    </row>
    <row r="83" spans="1:6" ht="13.5" customHeight="1" x14ac:dyDescent="0.15">
      <c r="A83" s="212">
        <v>82</v>
      </c>
      <c r="B83" s="214" t="s">
        <v>130</v>
      </c>
      <c r="C83" s="212" t="s">
        <v>402</v>
      </c>
      <c r="D83" s="211">
        <v>1380</v>
      </c>
      <c r="E83" s="211">
        <v>1380</v>
      </c>
      <c r="F83" s="210"/>
    </row>
    <row r="84" spans="1:6" ht="13.5" customHeight="1" x14ac:dyDescent="0.15">
      <c r="A84" s="212">
        <v>83</v>
      </c>
      <c r="B84" s="214" t="s">
        <v>85</v>
      </c>
      <c r="C84" s="212" t="s">
        <v>402</v>
      </c>
      <c r="D84" s="211">
        <v>1380</v>
      </c>
      <c r="E84" s="211">
        <v>1380</v>
      </c>
      <c r="F84" s="210"/>
    </row>
    <row r="85" spans="1:6" ht="13.5" customHeight="1" x14ac:dyDescent="0.15">
      <c r="A85" s="212">
        <v>84</v>
      </c>
      <c r="B85" s="214" t="s">
        <v>396</v>
      </c>
      <c r="C85" s="212" t="s">
        <v>402</v>
      </c>
      <c r="D85" s="211">
        <v>1380</v>
      </c>
      <c r="E85" s="211">
        <v>1380</v>
      </c>
      <c r="F85" s="210"/>
    </row>
    <row r="86" spans="1:6" ht="13.5" customHeight="1" x14ac:dyDescent="0.15">
      <c r="A86" s="212">
        <v>85</v>
      </c>
      <c r="B86" s="214" t="s">
        <v>397</v>
      </c>
      <c r="C86" s="212" t="s">
        <v>402</v>
      </c>
      <c r="D86" s="211">
        <v>1380</v>
      </c>
      <c r="E86" s="211">
        <v>1380</v>
      </c>
      <c r="F86" s="210"/>
    </row>
    <row r="87" spans="1:6" ht="13.5" customHeight="1" x14ac:dyDescent="0.15">
      <c r="A87" s="212">
        <v>86</v>
      </c>
      <c r="B87" s="214" t="s">
        <v>131</v>
      </c>
      <c r="C87" s="212" t="s">
        <v>402</v>
      </c>
      <c r="D87" s="211">
        <v>1380</v>
      </c>
      <c r="E87" s="211">
        <v>1380</v>
      </c>
      <c r="F87" s="210"/>
    </row>
    <row r="88" spans="1:6" ht="13.5" customHeight="1" x14ac:dyDescent="0.15">
      <c r="A88" s="212">
        <v>87</v>
      </c>
      <c r="B88" s="214" t="s">
        <v>132</v>
      </c>
      <c r="C88" s="212" t="s">
        <v>402</v>
      </c>
      <c r="D88" s="211">
        <v>1380</v>
      </c>
      <c r="E88" s="211">
        <v>1380</v>
      </c>
      <c r="F88" s="210"/>
    </row>
    <row r="89" spans="1:6" ht="13.5" customHeight="1" x14ac:dyDescent="0.15">
      <c r="A89" s="212">
        <v>88</v>
      </c>
      <c r="B89" s="214" t="s">
        <v>133</v>
      </c>
      <c r="C89" s="212" t="s">
        <v>402</v>
      </c>
      <c r="D89" s="211">
        <v>1380</v>
      </c>
      <c r="E89" s="211">
        <v>1380</v>
      </c>
      <c r="F89" s="210"/>
    </row>
    <row r="90" spans="1:6" ht="13.5" customHeight="1" x14ac:dyDescent="0.15">
      <c r="A90" s="212">
        <v>89</v>
      </c>
      <c r="B90" s="214" t="s">
        <v>134</v>
      </c>
      <c r="C90" s="212" t="s">
        <v>402</v>
      </c>
      <c r="D90" s="211">
        <v>1380</v>
      </c>
      <c r="E90" s="211">
        <v>1380</v>
      </c>
      <c r="F90" s="210"/>
    </row>
    <row r="91" spans="1:6" ht="13.5" customHeight="1" x14ac:dyDescent="0.15">
      <c r="A91" s="212">
        <v>90</v>
      </c>
      <c r="B91" s="214" t="s">
        <v>135</v>
      </c>
      <c r="C91" s="212" t="s">
        <v>402</v>
      </c>
      <c r="D91" s="211">
        <v>1380</v>
      </c>
      <c r="E91" s="211">
        <v>1380</v>
      </c>
      <c r="F91" s="210"/>
    </row>
    <row r="92" spans="1:6" ht="13.5" customHeight="1" x14ac:dyDescent="0.15">
      <c r="A92" s="212">
        <v>91</v>
      </c>
      <c r="B92" s="214" t="s">
        <v>136</v>
      </c>
      <c r="C92" s="212" t="s">
        <v>402</v>
      </c>
      <c r="D92" s="211">
        <v>1380</v>
      </c>
      <c r="E92" s="211">
        <v>1380</v>
      </c>
      <c r="F92" s="210"/>
    </row>
    <row r="93" spans="1:6" ht="13.5" customHeight="1" x14ac:dyDescent="0.15">
      <c r="A93" s="212">
        <v>92</v>
      </c>
      <c r="B93" s="214" t="s">
        <v>137</v>
      </c>
      <c r="C93" s="212" t="s">
        <v>402</v>
      </c>
      <c r="D93" s="211">
        <v>1380</v>
      </c>
      <c r="E93" s="211">
        <v>1380</v>
      </c>
      <c r="F93" s="210"/>
    </row>
    <row r="94" spans="1:6" ht="13.5" customHeight="1" x14ac:dyDescent="0.15">
      <c r="A94" s="212">
        <v>93</v>
      </c>
      <c r="B94" s="214" t="s">
        <v>138</v>
      </c>
      <c r="C94" s="212" t="s">
        <v>402</v>
      </c>
      <c r="D94" s="211">
        <v>1380</v>
      </c>
      <c r="E94" s="211">
        <v>1380</v>
      </c>
      <c r="F94" s="210"/>
    </row>
    <row r="95" spans="1:6" ht="13.5" customHeight="1" x14ac:dyDescent="0.15">
      <c r="A95" s="212">
        <v>94</v>
      </c>
      <c r="B95" s="214" t="s">
        <v>139</v>
      </c>
      <c r="C95" s="212" t="s">
        <v>402</v>
      </c>
      <c r="D95" s="211">
        <v>1380</v>
      </c>
      <c r="E95" s="211">
        <v>1380</v>
      </c>
      <c r="F95" s="210"/>
    </row>
    <row r="96" spans="1:6" ht="13.5" customHeight="1" x14ac:dyDescent="0.15">
      <c r="A96" s="212">
        <v>95</v>
      </c>
      <c r="B96" s="214" t="s">
        <v>140</v>
      </c>
      <c r="C96" s="212" t="s">
        <v>402</v>
      </c>
      <c r="D96" s="211">
        <v>1380</v>
      </c>
      <c r="E96" s="211">
        <v>1380</v>
      </c>
      <c r="F96" s="210"/>
    </row>
    <row r="97" spans="1:6" ht="13.5" customHeight="1" x14ac:dyDescent="0.15">
      <c r="A97" s="212">
        <v>96</v>
      </c>
      <c r="B97" s="214" t="s">
        <v>91</v>
      </c>
      <c r="C97" s="212" t="s">
        <v>74</v>
      </c>
      <c r="D97" s="210">
        <v>250</v>
      </c>
      <c r="E97" s="210">
        <v>250</v>
      </c>
      <c r="F97" s="210"/>
    </row>
    <row r="98" spans="1:6" ht="13.5" customHeight="1" x14ac:dyDescent="0.15">
      <c r="A98" s="212">
        <v>97</v>
      </c>
      <c r="B98" s="214" t="s">
        <v>141</v>
      </c>
      <c r="C98" s="212" t="s">
        <v>402</v>
      </c>
      <c r="D98" s="211">
        <v>1380</v>
      </c>
      <c r="E98" s="211">
        <v>1380</v>
      </c>
      <c r="F98" s="210"/>
    </row>
    <row r="99" spans="1:6" ht="13.5" customHeight="1" x14ac:dyDescent="0.15">
      <c r="A99" s="212">
        <v>98</v>
      </c>
      <c r="B99" s="214" t="s">
        <v>142</v>
      </c>
      <c r="C99" s="212" t="s">
        <v>402</v>
      </c>
      <c r="D99" s="211">
        <v>1380</v>
      </c>
      <c r="E99" s="211">
        <v>1380</v>
      </c>
      <c r="F99" s="210"/>
    </row>
    <row r="100" spans="1:6" ht="13.5" customHeight="1" x14ac:dyDescent="0.15">
      <c r="A100" s="212">
        <v>99</v>
      </c>
      <c r="B100" s="214" t="s">
        <v>54</v>
      </c>
      <c r="C100" s="212" t="s">
        <v>74</v>
      </c>
      <c r="D100" s="210">
        <v>300</v>
      </c>
      <c r="E100" s="210">
        <v>300</v>
      </c>
      <c r="F100" s="210"/>
    </row>
    <row r="101" spans="1:6" ht="13.5" customHeight="1" x14ac:dyDescent="0.15">
      <c r="A101" s="212">
        <v>100</v>
      </c>
      <c r="B101" s="215" t="s">
        <v>181</v>
      </c>
      <c r="C101" s="43" t="s">
        <v>191</v>
      </c>
      <c r="D101" s="211">
        <v>1380</v>
      </c>
      <c r="E101" s="211">
        <v>1380</v>
      </c>
      <c r="F101" s="44" t="s">
        <v>194</v>
      </c>
    </row>
    <row r="102" spans="1:6" ht="13.5" customHeight="1" x14ac:dyDescent="0.15">
      <c r="A102" s="212">
        <v>101</v>
      </c>
      <c r="B102" s="215" t="s">
        <v>182</v>
      </c>
      <c r="C102" s="43" t="s">
        <v>191</v>
      </c>
      <c r="D102" s="211">
        <v>1380</v>
      </c>
      <c r="E102" s="211">
        <v>1380</v>
      </c>
      <c r="F102" s="44" t="s">
        <v>192</v>
      </c>
    </row>
    <row r="103" spans="1:6" ht="13.5" customHeight="1" x14ac:dyDescent="0.15">
      <c r="A103" s="212">
        <v>102</v>
      </c>
      <c r="B103" s="215" t="s">
        <v>183</v>
      </c>
      <c r="C103" s="43" t="s">
        <v>191</v>
      </c>
      <c r="D103" s="211">
        <v>1380</v>
      </c>
      <c r="E103" s="211">
        <v>1380</v>
      </c>
      <c r="F103" s="44" t="s">
        <v>193</v>
      </c>
    </row>
    <row r="104" spans="1:6" ht="13.5" customHeight="1" x14ac:dyDescent="0.15">
      <c r="A104" s="212">
        <v>103</v>
      </c>
      <c r="B104" s="214" t="s">
        <v>152</v>
      </c>
      <c r="C104" s="212" t="s">
        <v>74</v>
      </c>
      <c r="D104" s="210">
        <v>150</v>
      </c>
      <c r="E104" s="210">
        <v>150</v>
      </c>
      <c r="F104" s="210"/>
    </row>
    <row r="105" spans="1:6" ht="13.5" customHeight="1" x14ac:dyDescent="0.15">
      <c r="A105" s="212">
        <v>104</v>
      </c>
      <c r="B105" s="214" t="s">
        <v>153</v>
      </c>
      <c r="C105" s="212" t="s">
        <v>74</v>
      </c>
      <c r="D105" s="210">
        <v>400</v>
      </c>
      <c r="E105" s="210">
        <v>400</v>
      </c>
      <c r="F105" s="210"/>
    </row>
    <row r="106" spans="1:6" ht="13.5" customHeight="1" x14ac:dyDescent="0.15">
      <c r="A106" s="212">
        <v>105</v>
      </c>
      <c r="B106" s="214" t="s">
        <v>67</v>
      </c>
      <c r="C106" s="212" t="s">
        <v>74</v>
      </c>
      <c r="D106" s="210">
        <v>430</v>
      </c>
      <c r="E106" s="210">
        <v>430</v>
      </c>
      <c r="F106" s="210"/>
    </row>
    <row r="107" spans="1:6" ht="13.5" customHeight="1" x14ac:dyDescent="0.15">
      <c r="A107" s="212">
        <v>106</v>
      </c>
      <c r="B107" s="214" t="s">
        <v>410</v>
      </c>
      <c r="C107" s="212" t="s">
        <v>74</v>
      </c>
      <c r="D107" s="210">
        <v>430</v>
      </c>
      <c r="E107" s="210">
        <v>430</v>
      </c>
      <c r="F107" s="210" t="s">
        <v>411</v>
      </c>
    </row>
    <row r="108" spans="1:6" ht="13.5" customHeight="1" x14ac:dyDescent="0.15">
      <c r="A108" s="212">
        <v>107</v>
      </c>
      <c r="B108" s="214" t="s">
        <v>154</v>
      </c>
      <c r="C108" s="212" t="s">
        <v>74</v>
      </c>
      <c r="D108" s="210">
        <v>450</v>
      </c>
      <c r="E108" s="210">
        <v>450</v>
      </c>
      <c r="F108" s="210"/>
    </row>
    <row r="109" spans="1:6" ht="13.5" customHeight="1" x14ac:dyDescent="0.15">
      <c r="A109" s="212">
        <v>108</v>
      </c>
      <c r="B109" s="214" t="s">
        <v>155</v>
      </c>
      <c r="C109" s="212" t="s">
        <v>74</v>
      </c>
      <c r="D109" s="210">
        <v>350</v>
      </c>
      <c r="E109" s="210">
        <v>350</v>
      </c>
      <c r="F109" s="210"/>
    </row>
    <row r="110" spans="1:6" ht="13.5" customHeight="1" x14ac:dyDescent="0.15">
      <c r="A110" s="212">
        <v>109</v>
      </c>
      <c r="B110" s="214" t="s">
        <v>72</v>
      </c>
      <c r="C110" s="212" t="s">
        <v>74</v>
      </c>
      <c r="D110" s="210">
        <v>250</v>
      </c>
      <c r="E110" s="210">
        <v>250</v>
      </c>
      <c r="F110" s="210"/>
    </row>
    <row r="111" spans="1:6" ht="13.5" customHeight="1" x14ac:dyDescent="0.15">
      <c r="A111" s="212">
        <v>110</v>
      </c>
      <c r="B111" s="214" t="s">
        <v>156</v>
      </c>
      <c r="C111" s="212" t="s">
        <v>74</v>
      </c>
      <c r="D111" s="210">
        <v>300</v>
      </c>
      <c r="E111" s="210">
        <v>300</v>
      </c>
      <c r="F111" s="210"/>
    </row>
    <row r="112" spans="1:6" ht="13.5" customHeight="1" x14ac:dyDescent="0.15">
      <c r="A112" s="212">
        <v>111</v>
      </c>
      <c r="B112" s="214" t="s">
        <v>70</v>
      </c>
      <c r="C112" s="212" t="s">
        <v>74</v>
      </c>
      <c r="D112" s="210">
        <v>230</v>
      </c>
      <c r="E112" s="210">
        <v>230</v>
      </c>
      <c r="F112" s="210"/>
    </row>
    <row r="113" spans="1:6" ht="13.5" customHeight="1" x14ac:dyDescent="0.15">
      <c r="A113" s="212">
        <v>112</v>
      </c>
      <c r="B113" s="214" t="s">
        <v>53</v>
      </c>
      <c r="C113" s="212" t="s">
        <v>74</v>
      </c>
      <c r="D113" s="210">
        <v>300</v>
      </c>
      <c r="E113" s="210">
        <v>300</v>
      </c>
      <c r="F113" s="210"/>
    </row>
    <row r="114" spans="1:6" ht="13.5" customHeight="1" x14ac:dyDescent="0.15">
      <c r="A114" s="212">
        <v>113</v>
      </c>
      <c r="B114" s="214" t="s">
        <v>157</v>
      </c>
      <c r="C114" s="212" t="s">
        <v>74</v>
      </c>
      <c r="D114" s="210">
        <v>150</v>
      </c>
      <c r="E114" s="210">
        <v>150</v>
      </c>
      <c r="F114" s="210"/>
    </row>
    <row r="115" spans="1:6" ht="13.5" customHeight="1" x14ac:dyDescent="0.15">
      <c r="A115" s="212">
        <v>114</v>
      </c>
      <c r="B115" s="214" t="s">
        <v>68</v>
      </c>
      <c r="C115" s="212" t="s">
        <v>74</v>
      </c>
      <c r="D115" s="210">
        <v>200</v>
      </c>
      <c r="E115" s="210">
        <v>200</v>
      </c>
      <c r="F115" s="210"/>
    </row>
    <row r="116" spans="1:6" ht="13.5" customHeight="1" x14ac:dyDescent="0.15">
      <c r="A116" s="212">
        <v>115</v>
      </c>
      <c r="B116" s="214" t="s">
        <v>158</v>
      </c>
      <c r="C116" s="212" t="s">
        <v>74</v>
      </c>
      <c r="D116" s="210">
        <v>200</v>
      </c>
      <c r="E116" s="210">
        <v>200</v>
      </c>
      <c r="F116" s="210"/>
    </row>
    <row r="117" spans="1:6" ht="13.5" customHeight="1" x14ac:dyDescent="0.15">
      <c r="A117" s="212">
        <v>116</v>
      </c>
      <c r="B117" s="214" t="s">
        <v>69</v>
      </c>
      <c r="C117" s="212" t="s">
        <v>74</v>
      </c>
      <c r="D117" s="210">
        <v>300</v>
      </c>
      <c r="E117" s="210">
        <v>300</v>
      </c>
      <c r="F117" s="210"/>
    </row>
    <row r="118" spans="1:6" ht="13.5" customHeight="1" x14ac:dyDescent="0.15">
      <c r="A118" s="212">
        <v>117</v>
      </c>
      <c r="B118" s="214" t="s">
        <v>159</v>
      </c>
      <c r="C118" s="212" t="s">
        <v>74</v>
      </c>
      <c r="D118" s="210">
        <v>330</v>
      </c>
      <c r="E118" s="210">
        <v>330</v>
      </c>
      <c r="F118" s="210"/>
    </row>
    <row r="119" spans="1:6" ht="13.5" customHeight="1" x14ac:dyDescent="0.15">
      <c r="A119" s="212">
        <v>118</v>
      </c>
      <c r="B119" s="214" t="s">
        <v>73</v>
      </c>
      <c r="C119" s="212" t="s">
        <v>74</v>
      </c>
      <c r="D119" s="210">
        <v>165</v>
      </c>
      <c r="E119" s="210">
        <v>165</v>
      </c>
      <c r="F119" s="210"/>
    </row>
    <row r="120" spans="1:6" ht="13.5" customHeight="1" x14ac:dyDescent="0.15">
      <c r="A120" s="212">
        <v>119</v>
      </c>
      <c r="B120" s="214" t="s">
        <v>71</v>
      </c>
      <c r="C120" s="212" t="s">
        <v>74</v>
      </c>
      <c r="D120" s="210">
        <v>250</v>
      </c>
      <c r="E120" s="210">
        <v>250</v>
      </c>
      <c r="F120" s="210"/>
    </row>
    <row r="121" spans="1:6" ht="13.5" customHeight="1" x14ac:dyDescent="0.15">
      <c r="A121" s="212">
        <v>120</v>
      </c>
      <c r="B121" s="214" t="s">
        <v>160</v>
      </c>
      <c r="C121" s="212" t="s">
        <v>74</v>
      </c>
      <c r="D121" s="210">
        <v>204</v>
      </c>
      <c r="E121" s="210">
        <v>204</v>
      </c>
      <c r="F121" s="210"/>
    </row>
    <row r="122" spans="1:6" ht="13.5" customHeight="1" x14ac:dyDescent="0.15">
      <c r="A122" s="212">
        <v>121</v>
      </c>
      <c r="B122" s="214" t="s">
        <v>162</v>
      </c>
      <c r="C122" s="212" t="s">
        <v>74</v>
      </c>
      <c r="D122" s="210">
        <v>150</v>
      </c>
      <c r="E122" s="210">
        <v>150</v>
      </c>
      <c r="F122" s="210"/>
    </row>
    <row r="123" spans="1:6" ht="13.5" customHeight="1" x14ac:dyDescent="0.15">
      <c r="A123" s="212">
        <v>122</v>
      </c>
      <c r="B123" s="214" t="s">
        <v>163</v>
      </c>
      <c r="C123" s="212" t="s">
        <v>74</v>
      </c>
      <c r="D123" s="210">
        <v>180</v>
      </c>
      <c r="E123" s="210">
        <v>180</v>
      </c>
      <c r="F123" s="210"/>
    </row>
    <row r="124" spans="1:6" ht="13.5" customHeight="1" x14ac:dyDescent="0.15">
      <c r="A124" s="212">
        <v>123</v>
      </c>
      <c r="B124" s="214" t="s">
        <v>164</v>
      </c>
      <c r="C124" s="212" t="s">
        <v>74</v>
      </c>
      <c r="D124" s="210">
        <v>150</v>
      </c>
      <c r="E124" s="210">
        <v>150</v>
      </c>
      <c r="F124" s="210"/>
    </row>
    <row r="125" spans="1:6" ht="13.5" customHeight="1" x14ac:dyDescent="0.15">
      <c r="A125" s="212">
        <v>124</v>
      </c>
      <c r="B125" s="214" t="s">
        <v>165</v>
      </c>
      <c r="C125" s="212" t="s">
        <v>74</v>
      </c>
      <c r="D125" s="210">
        <v>150</v>
      </c>
      <c r="E125" s="210">
        <v>150</v>
      </c>
      <c r="F125" s="210"/>
    </row>
    <row r="126" spans="1:6" ht="13.5" customHeight="1" x14ac:dyDescent="0.15">
      <c r="A126" s="212">
        <v>125</v>
      </c>
      <c r="B126" s="214" t="s">
        <v>166</v>
      </c>
      <c r="C126" s="212" t="s">
        <v>74</v>
      </c>
      <c r="D126" s="210">
        <v>396</v>
      </c>
      <c r="E126" s="210">
        <v>396</v>
      </c>
      <c r="F126" s="210"/>
    </row>
    <row r="127" spans="1:6" ht="13.5" customHeight="1" x14ac:dyDescent="0.15">
      <c r="A127" s="212">
        <v>126</v>
      </c>
      <c r="B127" s="214" t="s">
        <v>167</v>
      </c>
      <c r="C127" s="212" t="s">
        <v>74</v>
      </c>
      <c r="D127" s="210">
        <v>180</v>
      </c>
      <c r="E127" s="210">
        <v>180</v>
      </c>
      <c r="F127" s="210"/>
    </row>
    <row r="128" spans="1:6" ht="13.5" customHeight="1" x14ac:dyDescent="0.15">
      <c r="A128" s="212">
        <v>127</v>
      </c>
      <c r="B128" s="214" t="s">
        <v>398</v>
      </c>
      <c r="C128" s="212" t="s">
        <v>74</v>
      </c>
      <c r="D128" s="210">
        <v>150</v>
      </c>
      <c r="E128" s="210">
        <v>150</v>
      </c>
      <c r="F128" s="210"/>
    </row>
    <row r="129" spans="1:6" ht="13.5" customHeight="1" x14ac:dyDescent="0.15">
      <c r="A129" s="212">
        <v>128</v>
      </c>
      <c r="B129" s="214" t="s">
        <v>168</v>
      </c>
      <c r="C129" s="212" t="s">
        <v>74</v>
      </c>
      <c r="D129" s="210">
        <v>240</v>
      </c>
      <c r="E129" s="210">
        <v>240</v>
      </c>
      <c r="F129" s="210"/>
    </row>
    <row r="130" spans="1:6" ht="13.5" customHeight="1" x14ac:dyDescent="0.15">
      <c r="A130" s="212">
        <v>129</v>
      </c>
      <c r="B130" s="214" t="s">
        <v>57</v>
      </c>
      <c r="C130" s="212" t="s">
        <v>74</v>
      </c>
      <c r="D130" s="210">
        <v>413</v>
      </c>
      <c r="E130" s="210">
        <v>413</v>
      </c>
      <c r="F130" s="210"/>
    </row>
    <row r="131" spans="1:6" ht="13.5" customHeight="1" x14ac:dyDescent="0.15">
      <c r="A131" s="212">
        <v>130</v>
      </c>
      <c r="B131" s="214" t="s">
        <v>169</v>
      </c>
      <c r="C131" s="212" t="s">
        <v>74</v>
      </c>
      <c r="D131" s="210">
        <v>300</v>
      </c>
      <c r="E131" s="210">
        <v>300</v>
      </c>
      <c r="F131" s="210"/>
    </row>
    <row r="132" spans="1:6" ht="13.5" customHeight="1" x14ac:dyDescent="0.15">
      <c r="A132" s="212">
        <v>131</v>
      </c>
      <c r="B132" s="214" t="s">
        <v>170</v>
      </c>
      <c r="C132" s="212" t="s">
        <v>74</v>
      </c>
      <c r="D132" s="210">
        <v>170</v>
      </c>
      <c r="E132" s="210">
        <v>170</v>
      </c>
      <c r="F132" s="210"/>
    </row>
    <row r="133" spans="1:6" ht="13.5" customHeight="1" x14ac:dyDescent="0.15">
      <c r="A133" s="212">
        <v>132</v>
      </c>
      <c r="B133" s="214" t="s">
        <v>58</v>
      </c>
      <c r="C133" s="212" t="s">
        <v>74</v>
      </c>
      <c r="D133" s="210">
        <v>180</v>
      </c>
      <c r="E133" s="210">
        <v>180</v>
      </c>
      <c r="F133" s="210"/>
    </row>
    <row r="134" spans="1:6" ht="13.5" customHeight="1" x14ac:dyDescent="0.15">
      <c r="A134" s="212">
        <v>133</v>
      </c>
      <c r="B134" s="214" t="s">
        <v>171</v>
      </c>
      <c r="C134" s="212" t="s">
        <v>74</v>
      </c>
      <c r="D134" s="210">
        <v>413</v>
      </c>
      <c r="E134" s="210">
        <v>413</v>
      </c>
      <c r="F134" s="210"/>
    </row>
    <row r="135" spans="1:6" ht="13.5" customHeight="1" x14ac:dyDescent="0.15">
      <c r="A135" s="212">
        <v>134</v>
      </c>
      <c r="B135" s="214" t="s">
        <v>88</v>
      </c>
      <c r="C135" s="212" t="s">
        <v>74</v>
      </c>
      <c r="D135" s="210">
        <v>375</v>
      </c>
      <c r="E135" s="210">
        <v>375</v>
      </c>
      <c r="F135" s="210"/>
    </row>
    <row r="136" spans="1:6" ht="13.5" customHeight="1" x14ac:dyDescent="0.15">
      <c r="A136" s="212">
        <v>135</v>
      </c>
      <c r="B136" s="214" t="s">
        <v>173</v>
      </c>
      <c r="C136" s="212" t="s">
        <v>74</v>
      </c>
      <c r="D136" s="210">
        <v>180</v>
      </c>
      <c r="E136" s="210">
        <v>180</v>
      </c>
      <c r="F136" s="210"/>
    </row>
    <row r="137" spans="1:6" ht="13.5" customHeight="1" x14ac:dyDescent="0.15">
      <c r="A137" s="212">
        <v>136</v>
      </c>
      <c r="B137" s="214" t="s">
        <v>90</v>
      </c>
      <c r="C137" s="212" t="s">
        <v>74</v>
      </c>
      <c r="D137" s="210">
        <v>200</v>
      </c>
      <c r="E137" s="210">
        <v>200</v>
      </c>
      <c r="F137" s="210"/>
    </row>
    <row r="138" spans="1:6" ht="13.5" customHeight="1" x14ac:dyDescent="0.15">
      <c r="A138" s="212">
        <v>137</v>
      </c>
      <c r="B138" s="214" t="s">
        <v>172</v>
      </c>
      <c r="C138" s="212" t="s">
        <v>74</v>
      </c>
      <c r="D138" s="210">
        <v>170</v>
      </c>
      <c r="E138" s="210">
        <v>170</v>
      </c>
      <c r="F138" s="210"/>
    </row>
  </sheetData>
  <phoneticPr fontId="2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selection activeCell="G9" sqref="G9"/>
    </sheetView>
  </sheetViews>
  <sheetFormatPr defaultColWidth="8.88671875" defaultRowHeight="20.25" customHeight="1" x14ac:dyDescent="0.15"/>
  <cols>
    <col min="1" max="1" width="4.21875" style="204" bestFit="1" customWidth="1"/>
    <col min="2" max="2" width="9.5546875" style="204" customWidth="1"/>
    <col min="3" max="3" width="12.5546875" style="204" bestFit="1" customWidth="1"/>
    <col min="4" max="4" width="7.21875" customWidth="1"/>
    <col min="5" max="5" width="11.5546875" bestFit="1" customWidth="1"/>
    <col min="6" max="8" width="6.6640625" customWidth="1"/>
    <col min="9" max="12" width="9.21875" customWidth="1"/>
    <col min="13" max="14" width="9.21875" style="189" customWidth="1"/>
    <col min="15" max="16384" width="8.88671875" style="189"/>
  </cols>
  <sheetData>
    <row r="1" spans="1:18" ht="20.25" customHeight="1" thickTop="1" x14ac:dyDescent="0.15">
      <c r="A1" s="80" t="s">
        <v>100</v>
      </c>
      <c r="B1" s="80" t="s">
        <v>263</v>
      </c>
      <c r="C1" s="80" t="s">
        <v>234</v>
      </c>
      <c r="D1" s="80" t="s">
        <v>233</v>
      </c>
      <c r="E1" s="80" t="s">
        <v>235</v>
      </c>
      <c r="F1" s="80" t="s">
        <v>236</v>
      </c>
      <c r="G1" s="80" t="s">
        <v>237</v>
      </c>
      <c r="H1" s="80" t="s">
        <v>238</v>
      </c>
      <c r="I1" s="80" t="s">
        <v>239</v>
      </c>
      <c r="J1" s="80" t="s">
        <v>240</v>
      </c>
      <c r="K1" s="80" t="s">
        <v>241</v>
      </c>
      <c r="L1" s="80" t="s">
        <v>242</v>
      </c>
      <c r="O1" s="190"/>
      <c r="P1" s="191" t="s">
        <v>237</v>
      </c>
      <c r="Q1" s="191" t="s">
        <v>238</v>
      </c>
      <c r="R1" s="192" t="s">
        <v>239</v>
      </c>
    </row>
    <row r="2" spans="1:18" ht="20.25" customHeight="1" x14ac:dyDescent="0.15">
      <c r="A2" s="81">
        <v>1</v>
      </c>
      <c r="B2" s="81" t="s">
        <v>362</v>
      </c>
      <c r="C2" s="193" t="s">
        <v>261</v>
      </c>
      <c r="D2" s="194" t="s">
        <v>243</v>
      </c>
      <c r="E2" s="81" t="s">
        <v>41</v>
      </c>
      <c r="F2" s="81" t="s">
        <v>74</v>
      </c>
      <c r="G2" s="81">
        <f t="shared" ref="G2:G65" si="0">VLOOKUP($D2,$O$2:$R$5,2,0)</f>
        <v>30</v>
      </c>
      <c r="H2" s="81">
        <f t="shared" ref="H2:H65" si="1">VLOOKUP($D2,$O$2:$R$5,3,0)</f>
        <v>176</v>
      </c>
      <c r="I2" s="81">
        <f t="shared" ref="I2:I65" si="2">VLOOKUP($D2,$O$2:$R$5,4,0)</f>
        <v>81</v>
      </c>
      <c r="J2" s="81">
        <f>VLOOKUP(F2,'KOTRA 기준단가'!$I$1:$J$7,2,0)</f>
        <v>1190</v>
      </c>
      <c r="K2" s="82">
        <f t="shared" ref="K2:K11" si="3">(G2+H2+I2)*J2</f>
        <v>341530</v>
      </c>
      <c r="L2" s="82">
        <f t="shared" ref="L2:L11" si="4">J2*H2</f>
        <v>209440</v>
      </c>
      <c r="O2" s="195" t="s">
        <v>243</v>
      </c>
      <c r="P2" s="196">
        <v>30</v>
      </c>
      <c r="Q2" s="196">
        <v>176</v>
      </c>
      <c r="R2" s="197">
        <v>81</v>
      </c>
    </row>
    <row r="3" spans="1:18" ht="20.25" customHeight="1" x14ac:dyDescent="0.15">
      <c r="A3" s="81">
        <v>2</v>
      </c>
      <c r="B3" s="81" t="s">
        <v>364</v>
      </c>
      <c r="C3" s="193" t="s">
        <v>254</v>
      </c>
      <c r="D3" s="194" t="s">
        <v>243</v>
      </c>
      <c r="E3" s="81" t="s">
        <v>244</v>
      </c>
      <c r="F3" s="81" t="s">
        <v>74</v>
      </c>
      <c r="G3" s="81">
        <f t="shared" si="0"/>
        <v>30</v>
      </c>
      <c r="H3" s="81">
        <f t="shared" si="1"/>
        <v>176</v>
      </c>
      <c r="I3" s="81">
        <f t="shared" si="2"/>
        <v>81</v>
      </c>
      <c r="J3" s="81">
        <f>VLOOKUP(F3,'KOTRA 기준단가'!$I$1:$J$7,2,0)</f>
        <v>1190</v>
      </c>
      <c r="K3" s="82">
        <f t="shared" si="3"/>
        <v>341530</v>
      </c>
      <c r="L3" s="82">
        <f t="shared" si="4"/>
        <v>209440</v>
      </c>
      <c r="O3" s="195" t="s">
        <v>245</v>
      </c>
      <c r="P3" s="196">
        <v>30</v>
      </c>
      <c r="Q3" s="196">
        <v>137</v>
      </c>
      <c r="R3" s="197">
        <v>59</v>
      </c>
    </row>
    <row r="4" spans="1:18" ht="20.25" customHeight="1" x14ac:dyDescent="0.15">
      <c r="A4" s="81">
        <v>3</v>
      </c>
      <c r="B4" s="81" t="s">
        <v>368</v>
      </c>
      <c r="C4" s="193" t="s">
        <v>292</v>
      </c>
      <c r="D4" s="194" t="s">
        <v>243</v>
      </c>
      <c r="E4" s="81" t="s">
        <v>47</v>
      </c>
      <c r="F4" s="81" t="s">
        <v>74</v>
      </c>
      <c r="G4" s="81">
        <f t="shared" si="0"/>
        <v>30</v>
      </c>
      <c r="H4" s="81">
        <f t="shared" si="1"/>
        <v>176</v>
      </c>
      <c r="I4" s="81">
        <f t="shared" si="2"/>
        <v>81</v>
      </c>
      <c r="J4" s="81">
        <f>VLOOKUP(F4,'KOTRA 기준단가'!$I$1:$J$7,2,0)</f>
        <v>1190</v>
      </c>
      <c r="K4" s="82">
        <f t="shared" si="3"/>
        <v>341530</v>
      </c>
      <c r="L4" s="82">
        <f t="shared" si="4"/>
        <v>209440</v>
      </c>
      <c r="O4" s="195" t="s">
        <v>246</v>
      </c>
      <c r="P4" s="196">
        <v>30</v>
      </c>
      <c r="Q4" s="196">
        <v>106</v>
      </c>
      <c r="R4" s="197">
        <v>44</v>
      </c>
    </row>
    <row r="5" spans="1:18" ht="20.25" customHeight="1" thickBot="1" x14ac:dyDescent="0.2">
      <c r="A5" s="81">
        <v>4</v>
      </c>
      <c r="B5" s="81" t="s">
        <v>363</v>
      </c>
      <c r="C5" s="193" t="s">
        <v>261</v>
      </c>
      <c r="D5" s="194" t="s">
        <v>243</v>
      </c>
      <c r="E5" s="81" t="s">
        <v>99</v>
      </c>
      <c r="F5" s="81" t="s">
        <v>74</v>
      </c>
      <c r="G5" s="81">
        <f t="shared" si="0"/>
        <v>30</v>
      </c>
      <c r="H5" s="81">
        <f t="shared" si="1"/>
        <v>176</v>
      </c>
      <c r="I5" s="81">
        <f t="shared" si="2"/>
        <v>81</v>
      </c>
      <c r="J5" s="81">
        <f>VLOOKUP(F5,'KOTRA 기준단가'!$I$1:$J$7,2,0)</f>
        <v>1190</v>
      </c>
      <c r="K5" s="82">
        <f t="shared" si="3"/>
        <v>341530</v>
      </c>
      <c r="L5" s="82">
        <f t="shared" si="4"/>
        <v>209440</v>
      </c>
      <c r="O5" s="198" t="s">
        <v>247</v>
      </c>
      <c r="P5" s="199">
        <v>30</v>
      </c>
      <c r="Q5" s="199">
        <v>81</v>
      </c>
      <c r="R5" s="200">
        <v>37</v>
      </c>
    </row>
    <row r="6" spans="1:18" ht="20.25" customHeight="1" thickTop="1" x14ac:dyDescent="0.15">
      <c r="A6" s="81">
        <v>5</v>
      </c>
      <c r="B6" s="81" t="s">
        <v>367</v>
      </c>
      <c r="C6" s="193" t="s">
        <v>286</v>
      </c>
      <c r="D6" s="194" t="s">
        <v>243</v>
      </c>
      <c r="E6" s="81" t="s">
        <v>57</v>
      </c>
      <c r="F6" s="81" t="s">
        <v>74</v>
      </c>
      <c r="G6" s="81">
        <f t="shared" si="0"/>
        <v>30</v>
      </c>
      <c r="H6" s="81">
        <f t="shared" si="1"/>
        <v>176</v>
      </c>
      <c r="I6" s="81">
        <f t="shared" si="2"/>
        <v>81</v>
      </c>
      <c r="J6" s="81">
        <f>VLOOKUP(F6,'KOTRA 기준단가'!$I$1:$J$7,2,0)</f>
        <v>1190</v>
      </c>
      <c r="K6" s="82">
        <f t="shared" si="3"/>
        <v>341530</v>
      </c>
      <c r="L6" s="82">
        <f t="shared" si="4"/>
        <v>209440</v>
      </c>
    </row>
    <row r="7" spans="1:18" ht="20.25" customHeight="1" x14ac:dyDescent="0.15">
      <c r="A7" s="81">
        <v>6</v>
      </c>
      <c r="B7" s="81" t="s">
        <v>363</v>
      </c>
      <c r="C7" s="193" t="s">
        <v>261</v>
      </c>
      <c r="D7" s="194" t="s">
        <v>243</v>
      </c>
      <c r="E7" s="81" t="s">
        <v>42</v>
      </c>
      <c r="F7" s="81" t="s">
        <v>74</v>
      </c>
      <c r="G7" s="81">
        <f t="shared" si="0"/>
        <v>30</v>
      </c>
      <c r="H7" s="81">
        <f t="shared" si="1"/>
        <v>176</v>
      </c>
      <c r="I7" s="81">
        <f t="shared" si="2"/>
        <v>81</v>
      </c>
      <c r="J7" s="81">
        <f>VLOOKUP(F7,'KOTRA 기준단가'!$I$1:$J$7,2,0)</f>
        <v>1190</v>
      </c>
      <c r="K7" s="82">
        <f t="shared" si="3"/>
        <v>341530</v>
      </c>
      <c r="L7" s="82">
        <f t="shared" si="4"/>
        <v>209440</v>
      </c>
    </row>
    <row r="8" spans="1:18" ht="20.25" customHeight="1" x14ac:dyDescent="0.15">
      <c r="A8" s="81">
        <v>7</v>
      </c>
      <c r="B8" s="81" t="s">
        <v>363</v>
      </c>
      <c r="C8" s="193" t="s">
        <v>261</v>
      </c>
      <c r="D8" s="194" t="s">
        <v>243</v>
      </c>
      <c r="E8" s="81" t="s">
        <v>45</v>
      </c>
      <c r="F8" s="81" t="s">
        <v>74</v>
      </c>
      <c r="G8" s="81">
        <f t="shared" si="0"/>
        <v>30</v>
      </c>
      <c r="H8" s="81">
        <f t="shared" si="1"/>
        <v>176</v>
      </c>
      <c r="I8" s="81">
        <f t="shared" si="2"/>
        <v>81</v>
      </c>
      <c r="J8" s="81">
        <f>VLOOKUP(F8,'KOTRA 기준단가'!$I$1:$J$7,2,0)</f>
        <v>1190</v>
      </c>
      <c r="K8" s="82">
        <f t="shared" si="3"/>
        <v>341530</v>
      </c>
      <c r="L8" s="82">
        <f t="shared" si="4"/>
        <v>209440</v>
      </c>
    </row>
    <row r="9" spans="1:18" ht="20.25" customHeight="1" x14ac:dyDescent="0.15">
      <c r="A9" s="81">
        <v>8</v>
      </c>
      <c r="B9" s="81" t="s">
        <v>366</v>
      </c>
      <c r="C9" s="193" t="s">
        <v>359</v>
      </c>
      <c r="D9" s="194" t="s">
        <v>243</v>
      </c>
      <c r="E9" s="81" t="s">
        <v>49</v>
      </c>
      <c r="F9" s="81" t="s">
        <v>74</v>
      </c>
      <c r="G9" s="81">
        <f t="shared" si="0"/>
        <v>30</v>
      </c>
      <c r="H9" s="81">
        <f t="shared" si="1"/>
        <v>176</v>
      </c>
      <c r="I9" s="81">
        <f t="shared" si="2"/>
        <v>81</v>
      </c>
      <c r="J9" s="81">
        <f>VLOOKUP(F9,'KOTRA 기준단가'!$I$1:$J$7,2,0)</f>
        <v>1190</v>
      </c>
      <c r="K9" s="82">
        <f t="shared" si="3"/>
        <v>341530</v>
      </c>
      <c r="L9" s="82">
        <f t="shared" si="4"/>
        <v>209440</v>
      </c>
    </row>
    <row r="10" spans="1:18" ht="20.25" customHeight="1" x14ac:dyDescent="0.15">
      <c r="A10" s="81">
        <v>9</v>
      </c>
      <c r="B10" s="81" t="s">
        <v>364</v>
      </c>
      <c r="C10" s="193" t="s">
        <v>317</v>
      </c>
      <c r="D10" s="194" t="s">
        <v>243</v>
      </c>
      <c r="E10" s="81" t="s">
        <v>54</v>
      </c>
      <c r="F10" s="81" t="s">
        <v>74</v>
      </c>
      <c r="G10" s="81">
        <f t="shared" si="0"/>
        <v>30</v>
      </c>
      <c r="H10" s="81">
        <f t="shared" si="1"/>
        <v>176</v>
      </c>
      <c r="I10" s="81">
        <f t="shared" si="2"/>
        <v>81</v>
      </c>
      <c r="J10" s="81">
        <f>VLOOKUP(F10,'KOTRA 기준단가'!$I$1:$J$7,2,0)</f>
        <v>1190</v>
      </c>
      <c r="K10" s="82">
        <f t="shared" si="3"/>
        <v>341530</v>
      </c>
      <c r="L10" s="82">
        <f t="shared" si="4"/>
        <v>209440</v>
      </c>
    </row>
    <row r="11" spans="1:18" ht="20.25" customHeight="1" x14ac:dyDescent="0.15">
      <c r="A11" s="81">
        <v>10</v>
      </c>
      <c r="B11" s="81" t="s">
        <v>366</v>
      </c>
      <c r="C11" s="193" t="s">
        <v>289</v>
      </c>
      <c r="D11" s="194" t="s">
        <v>243</v>
      </c>
      <c r="E11" s="81" t="s">
        <v>248</v>
      </c>
      <c r="F11" s="81" t="s">
        <v>74</v>
      </c>
      <c r="G11" s="81">
        <f t="shared" si="0"/>
        <v>30</v>
      </c>
      <c r="H11" s="81">
        <f t="shared" si="1"/>
        <v>176</v>
      </c>
      <c r="I11" s="81">
        <f t="shared" si="2"/>
        <v>81</v>
      </c>
      <c r="J11" s="81">
        <f>VLOOKUP(F11,'KOTRA 기준단가'!$I$1:$J$7,2,0)</f>
        <v>1190</v>
      </c>
      <c r="K11" s="82">
        <f t="shared" si="3"/>
        <v>341530</v>
      </c>
      <c r="L11" s="82">
        <f t="shared" si="4"/>
        <v>209440</v>
      </c>
    </row>
    <row r="12" spans="1:18" ht="20.25" customHeight="1" x14ac:dyDescent="0.15">
      <c r="A12" s="81">
        <v>11</v>
      </c>
      <c r="B12" s="81" t="s">
        <v>364</v>
      </c>
      <c r="C12" s="193" t="s">
        <v>360</v>
      </c>
      <c r="D12" s="194" t="s">
        <v>243</v>
      </c>
      <c r="E12" s="81" t="s">
        <v>59</v>
      </c>
      <c r="F12" s="81" t="s">
        <v>74</v>
      </c>
      <c r="G12" s="81">
        <f t="shared" si="0"/>
        <v>30</v>
      </c>
      <c r="H12" s="81">
        <f t="shared" si="1"/>
        <v>176</v>
      </c>
      <c r="I12" s="81">
        <f t="shared" si="2"/>
        <v>81</v>
      </c>
      <c r="J12" s="81">
        <f>VLOOKUP(F12,'KOTRA 기준단가'!$I$1:$J$7,2,0)</f>
        <v>1190</v>
      </c>
      <c r="K12" s="82">
        <f>(G12+H12+I12)*J12</f>
        <v>341530</v>
      </c>
      <c r="L12" s="82">
        <f>J12*H12</f>
        <v>209440</v>
      </c>
    </row>
    <row r="13" spans="1:18" ht="20.25" customHeight="1" x14ac:dyDescent="0.15">
      <c r="A13" s="81">
        <v>12</v>
      </c>
      <c r="B13" s="81" t="s">
        <v>365</v>
      </c>
      <c r="C13" s="193" t="s">
        <v>361</v>
      </c>
      <c r="D13" s="201" t="s">
        <v>245</v>
      </c>
      <c r="E13" s="81" t="s">
        <v>249</v>
      </c>
      <c r="F13" s="81" t="s">
        <v>74</v>
      </c>
      <c r="G13" s="81">
        <f t="shared" si="0"/>
        <v>30</v>
      </c>
      <c r="H13" s="81">
        <f t="shared" si="1"/>
        <v>137</v>
      </c>
      <c r="I13" s="81">
        <f t="shared" si="2"/>
        <v>59</v>
      </c>
      <c r="J13" s="81">
        <f>VLOOKUP(F13,'KOTRA 기준단가'!$I$1:$J$7,2,0)</f>
        <v>1190</v>
      </c>
      <c r="K13" s="82">
        <f t="shared" ref="K13:K76" si="5">(G13+H13+I13)*J13</f>
        <v>268940</v>
      </c>
      <c r="L13" s="82">
        <f t="shared" ref="L13:L76" si="6">J13*H13</f>
        <v>163030</v>
      </c>
    </row>
    <row r="14" spans="1:18" ht="20.25" customHeight="1" x14ac:dyDescent="0.15">
      <c r="A14" s="81">
        <v>13</v>
      </c>
      <c r="B14" s="81" t="s">
        <v>365</v>
      </c>
      <c r="C14" s="193" t="s">
        <v>317</v>
      </c>
      <c r="D14" s="201" t="s">
        <v>245</v>
      </c>
      <c r="E14" s="81" t="s">
        <v>250</v>
      </c>
      <c r="F14" s="81" t="s">
        <v>74</v>
      </c>
      <c r="G14" s="81">
        <f t="shared" si="0"/>
        <v>30</v>
      </c>
      <c r="H14" s="81">
        <f t="shared" si="1"/>
        <v>137</v>
      </c>
      <c r="I14" s="81">
        <f t="shared" si="2"/>
        <v>59</v>
      </c>
      <c r="J14" s="81">
        <f>VLOOKUP(F14,'KOTRA 기준단가'!$I$1:$J$7,2,0)</f>
        <v>1190</v>
      </c>
      <c r="K14" s="82">
        <f t="shared" si="5"/>
        <v>268940</v>
      </c>
      <c r="L14" s="82">
        <f t="shared" si="6"/>
        <v>163030</v>
      </c>
    </row>
    <row r="15" spans="1:18" ht="20.25" customHeight="1" x14ac:dyDescent="0.15">
      <c r="A15" s="81">
        <v>14</v>
      </c>
      <c r="B15" s="81" t="s">
        <v>251</v>
      </c>
      <c r="C15" s="81" t="s">
        <v>252</v>
      </c>
      <c r="D15" s="201" t="s">
        <v>245</v>
      </c>
      <c r="E15" s="81" t="s">
        <v>65</v>
      </c>
      <c r="F15" s="81" t="s">
        <v>74</v>
      </c>
      <c r="G15" s="81">
        <f t="shared" si="0"/>
        <v>30</v>
      </c>
      <c r="H15" s="81">
        <f t="shared" si="1"/>
        <v>137</v>
      </c>
      <c r="I15" s="81">
        <f t="shared" si="2"/>
        <v>59</v>
      </c>
      <c r="J15" s="81">
        <f>VLOOKUP(F15,'KOTRA 기준단가'!$I$1:$J$7,2,0)</f>
        <v>1190</v>
      </c>
      <c r="K15" s="82">
        <f t="shared" si="5"/>
        <v>268940</v>
      </c>
      <c r="L15" s="82">
        <f t="shared" si="6"/>
        <v>163030</v>
      </c>
    </row>
    <row r="16" spans="1:18" ht="20.25" customHeight="1" x14ac:dyDescent="0.15">
      <c r="A16" s="81">
        <v>15</v>
      </c>
      <c r="B16" s="81" t="s">
        <v>251</v>
      </c>
      <c r="C16" s="81" t="s">
        <v>252</v>
      </c>
      <c r="D16" s="201" t="s">
        <v>245</v>
      </c>
      <c r="E16" s="81" t="s">
        <v>66</v>
      </c>
      <c r="F16" s="81" t="s">
        <v>74</v>
      </c>
      <c r="G16" s="81">
        <f t="shared" si="0"/>
        <v>30</v>
      </c>
      <c r="H16" s="81">
        <f t="shared" si="1"/>
        <v>137</v>
      </c>
      <c r="I16" s="81">
        <f t="shared" si="2"/>
        <v>59</v>
      </c>
      <c r="J16" s="81">
        <f>VLOOKUP(F16,'KOTRA 기준단가'!$I$1:$J$7,2,0)</f>
        <v>1190</v>
      </c>
      <c r="K16" s="82">
        <f t="shared" si="5"/>
        <v>268940</v>
      </c>
      <c r="L16" s="82">
        <f t="shared" si="6"/>
        <v>163030</v>
      </c>
    </row>
    <row r="17" spans="1:13" ht="20.25" customHeight="1" x14ac:dyDescent="0.15">
      <c r="A17" s="81">
        <v>16</v>
      </c>
      <c r="B17" s="81" t="s">
        <v>251</v>
      </c>
      <c r="C17" s="81" t="s">
        <v>252</v>
      </c>
      <c r="D17" s="201" t="s">
        <v>245</v>
      </c>
      <c r="E17" s="81" t="s">
        <v>253</v>
      </c>
      <c r="F17" s="81" t="s">
        <v>74</v>
      </c>
      <c r="G17" s="81">
        <f t="shared" si="0"/>
        <v>30</v>
      </c>
      <c r="H17" s="81">
        <f t="shared" si="1"/>
        <v>137</v>
      </c>
      <c r="I17" s="81">
        <f t="shared" si="2"/>
        <v>59</v>
      </c>
      <c r="J17" s="81">
        <f>VLOOKUP(F17,'KOTRA 기준단가'!$I$1:$J$7,2,0)</f>
        <v>1190</v>
      </c>
      <c r="K17" s="82">
        <f t="shared" si="5"/>
        <v>268940</v>
      </c>
      <c r="L17" s="82">
        <f t="shared" si="6"/>
        <v>163030</v>
      </c>
    </row>
    <row r="18" spans="1:13" ht="20.25" customHeight="1" x14ac:dyDescent="0.15">
      <c r="A18" s="81">
        <v>17</v>
      </c>
      <c r="B18" s="81" t="s">
        <v>251</v>
      </c>
      <c r="C18" s="81" t="s">
        <v>252</v>
      </c>
      <c r="D18" s="201" t="s">
        <v>245</v>
      </c>
      <c r="E18" s="81" t="s">
        <v>118</v>
      </c>
      <c r="F18" s="81" t="s">
        <v>74</v>
      </c>
      <c r="G18" s="81">
        <f t="shared" si="0"/>
        <v>30</v>
      </c>
      <c r="H18" s="81">
        <f t="shared" si="1"/>
        <v>137</v>
      </c>
      <c r="I18" s="81">
        <f t="shared" si="2"/>
        <v>59</v>
      </c>
      <c r="J18" s="81">
        <f>VLOOKUP(F18,'KOTRA 기준단가'!$I$1:$J$7,2,0)</f>
        <v>1190</v>
      </c>
      <c r="K18" s="82">
        <f t="shared" si="5"/>
        <v>268940</v>
      </c>
      <c r="L18" s="82">
        <f t="shared" si="6"/>
        <v>163030</v>
      </c>
      <c r="M18"/>
    </row>
    <row r="19" spans="1:13" ht="20.25" customHeight="1" x14ac:dyDescent="0.15">
      <c r="A19" s="81">
        <v>18</v>
      </c>
      <c r="B19" s="81" t="s">
        <v>251</v>
      </c>
      <c r="C19" s="81" t="s">
        <v>254</v>
      </c>
      <c r="D19" s="201" t="s">
        <v>245</v>
      </c>
      <c r="E19" s="81" t="s">
        <v>255</v>
      </c>
      <c r="F19" s="81" t="s">
        <v>74</v>
      </c>
      <c r="G19" s="81">
        <f t="shared" si="0"/>
        <v>30</v>
      </c>
      <c r="H19" s="81">
        <f t="shared" si="1"/>
        <v>137</v>
      </c>
      <c r="I19" s="81">
        <f t="shared" si="2"/>
        <v>59</v>
      </c>
      <c r="J19" s="81">
        <f>VLOOKUP(F19,'KOTRA 기준단가'!$I$1:$J$7,2,0)</f>
        <v>1190</v>
      </c>
      <c r="K19" s="82">
        <f t="shared" si="5"/>
        <v>268940</v>
      </c>
      <c r="L19" s="82">
        <f t="shared" si="6"/>
        <v>163030</v>
      </c>
    </row>
    <row r="20" spans="1:13" ht="20.25" customHeight="1" x14ac:dyDescent="0.15">
      <c r="A20" s="81">
        <v>19</v>
      </c>
      <c r="B20" s="81" t="s">
        <v>251</v>
      </c>
      <c r="C20" s="81" t="s">
        <v>254</v>
      </c>
      <c r="D20" s="201" t="s">
        <v>245</v>
      </c>
      <c r="E20" s="81" t="s">
        <v>256</v>
      </c>
      <c r="F20" s="81" t="s">
        <v>74</v>
      </c>
      <c r="G20" s="81">
        <f t="shared" si="0"/>
        <v>30</v>
      </c>
      <c r="H20" s="81">
        <f t="shared" si="1"/>
        <v>137</v>
      </c>
      <c r="I20" s="81">
        <f t="shared" si="2"/>
        <v>59</v>
      </c>
      <c r="J20" s="81">
        <f>VLOOKUP(F20,'KOTRA 기준단가'!$I$1:$J$7,2,0)</f>
        <v>1190</v>
      </c>
      <c r="K20" s="82">
        <f t="shared" si="5"/>
        <v>268940</v>
      </c>
      <c r="L20" s="82">
        <f t="shared" si="6"/>
        <v>163030</v>
      </c>
    </row>
    <row r="21" spans="1:13" ht="20.25" customHeight="1" x14ac:dyDescent="0.15">
      <c r="A21" s="81">
        <v>20</v>
      </c>
      <c r="B21" s="81" t="s">
        <v>251</v>
      </c>
      <c r="C21" s="81" t="s">
        <v>254</v>
      </c>
      <c r="D21" s="201" t="s">
        <v>245</v>
      </c>
      <c r="E21" s="81" t="s">
        <v>257</v>
      </c>
      <c r="F21" s="81" t="s">
        <v>74</v>
      </c>
      <c r="G21" s="81">
        <f t="shared" si="0"/>
        <v>30</v>
      </c>
      <c r="H21" s="81">
        <f t="shared" si="1"/>
        <v>137</v>
      </c>
      <c r="I21" s="81">
        <f t="shared" si="2"/>
        <v>59</v>
      </c>
      <c r="J21" s="81">
        <f>VLOOKUP(F21,'KOTRA 기준단가'!$I$1:$J$7,2,0)</f>
        <v>1190</v>
      </c>
      <c r="K21" s="82">
        <f t="shared" si="5"/>
        <v>268940</v>
      </c>
      <c r="L21" s="82">
        <f t="shared" si="6"/>
        <v>163030</v>
      </c>
      <c r="M21"/>
    </row>
    <row r="22" spans="1:13" ht="20.25" customHeight="1" x14ac:dyDescent="0.15">
      <c r="A22" s="81">
        <v>21</v>
      </c>
      <c r="B22" s="81" t="s">
        <v>251</v>
      </c>
      <c r="C22" s="81" t="s">
        <v>254</v>
      </c>
      <c r="D22" s="201" t="s">
        <v>245</v>
      </c>
      <c r="E22" s="81" t="s">
        <v>127</v>
      </c>
      <c r="F22" s="81" t="s">
        <v>74</v>
      </c>
      <c r="G22" s="81">
        <f t="shared" si="0"/>
        <v>30</v>
      </c>
      <c r="H22" s="81">
        <f t="shared" si="1"/>
        <v>137</v>
      </c>
      <c r="I22" s="81">
        <f t="shared" si="2"/>
        <v>59</v>
      </c>
      <c r="J22" s="81">
        <f>VLOOKUP(F22,'KOTRA 기준단가'!$I$1:$J$7,2,0)</f>
        <v>1190</v>
      </c>
      <c r="K22" s="82">
        <f t="shared" si="5"/>
        <v>268940</v>
      </c>
      <c r="L22" s="82">
        <f t="shared" si="6"/>
        <v>163030</v>
      </c>
      <c r="M22"/>
    </row>
    <row r="23" spans="1:13" ht="20.25" customHeight="1" x14ac:dyDescent="0.15">
      <c r="A23" s="81">
        <v>22</v>
      </c>
      <c r="B23" s="81" t="s">
        <v>251</v>
      </c>
      <c r="C23" s="81" t="s">
        <v>258</v>
      </c>
      <c r="D23" s="201" t="s">
        <v>245</v>
      </c>
      <c r="E23" s="81" t="s">
        <v>88</v>
      </c>
      <c r="F23" s="81" t="s">
        <v>74</v>
      </c>
      <c r="G23" s="81">
        <f t="shared" si="0"/>
        <v>30</v>
      </c>
      <c r="H23" s="81">
        <f t="shared" si="1"/>
        <v>137</v>
      </c>
      <c r="I23" s="81">
        <f t="shared" si="2"/>
        <v>59</v>
      </c>
      <c r="J23" s="81">
        <f>VLOOKUP(F23,'KOTRA 기준단가'!$I$1:$J$7,2,0)</f>
        <v>1190</v>
      </c>
      <c r="K23" s="82">
        <f t="shared" si="5"/>
        <v>268940</v>
      </c>
      <c r="L23" s="82">
        <f t="shared" si="6"/>
        <v>163030</v>
      </c>
      <c r="M23"/>
    </row>
    <row r="24" spans="1:13" ht="20.25" customHeight="1" x14ac:dyDescent="0.15">
      <c r="A24" s="81">
        <v>23</v>
      </c>
      <c r="B24" s="81" t="s">
        <v>259</v>
      </c>
      <c r="C24" s="81" t="s">
        <v>260</v>
      </c>
      <c r="D24" s="201" t="s">
        <v>245</v>
      </c>
      <c r="E24" s="81" t="s">
        <v>56</v>
      </c>
      <c r="F24" s="81" t="s">
        <v>74</v>
      </c>
      <c r="G24" s="81">
        <f t="shared" si="0"/>
        <v>30</v>
      </c>
      <c r="H24" s="81">
        <f t="shared" si="1"/>
        <v>137</v>
      </c>
      <c r="I24" s="81">
        <f t="shared" si="2"/>
        <v>59</v>
      </c>
      <c r="J24" s="81">
        <f>VLOOKUP(F24,'KOTRA 기준단가'!$I$1:$J$7,2,0)</f>
        <v>1190</v>
      </c>
      <c r="K24" s="82">
        <f t="shared" si="5"/>
        <v>268940</v>
      </c>
      <c r="L24" s="82">
        <f t="shared" si="6"/>
        <v>163030</v>
      </c>
    </row>
    <row r="25" spans="1:13" ht="20.25" customHeight="1" x14ac:dyDescent="0.15">
      <c r="A25" s="81">
        <v>24</v>
      </c>
      <c r="B25" s="81" t="s">
        <v>259</v>
      </c>
      <c r="C25" s="81" t="s">
        <v>261</v>
      </c>
      <c r="D25" s="201" t="s">
        <v>245</v>
      </c>
      <c r="E25" s="81" t="s">
        <v>44</v>
      </c>
      <c r="F25" s="81" t="s">
        <v>74</v>
      </c>
      <c r="G25" s="81">
        <f t="shared" si="0"/>
        <v>30</v>
      </c>
      <c r="H25" s="81">
        <f t="shared" si="1"/>
        <v>137</v>
      </c>
      <c r="I25" s="81">
        <f t="shared" si="2"/>
        <v>59</v>
      </c>
      <c r="J25" s="81">
        <f>VLOOKUP(F25,'KOTRA 기준단가'!$I$1:$J$7,2,0)</f>
        <v>1190</v>
      </c>
      <c r="K25" s="82">
        <f t="shared" si="5"/>
        <v>268940</v>
      </c>
      <c r="L25" s="82">
        <f t="shared" si="6"/>
        <v>163030</v>
      </c>
    </row>
    <row r="26" spans="1:13" ht="20.25" customHeight="1" x14ac:dyDescent="0.15">
      <c r="A26" s="81">
        <v>25</v>
      </c>
      <c r="B26" s="81" t="s">
        <v>259</v>
      </c>
      <c r="C26" s="81" t="s">
        <v>261</v>
      </c>
      <c r="D26" s="201" t="s">
        <v>245</v>
      </c>
      <c r="E26" s="81" t="s">
        <v>262</v>
      </c>
      <c r="F26" s="81" t="s">
        <v>74</v>
      </c>
      <c r="G26" s="81">
        <f t="shared" si="0"/>
        <v>30</v>
      </c>
      <c r="H26" s="81">
        <f t="shared" si="1"/>
        <v>137</v>
      </c>
      <c r="I26" s="81">
        <f t="shared" si="2"/>
        <v>59</v>
      </c>
      <c r="J26" s="81">
        <f>VLOOKUP(F26,'KOTRA 기준단가'!$I$1:$J$7,2,0)</f>
        <v>1190</v>
      </c>
      <c r="K26" s="82">
        <f t="shared" si="5"/>
        <v>268940</v>
      </c>
      <c r="L26" s="82">
        <f t="shared" si="6"/>
        <v>163030</v>
      </c>
    </row>
    <row r="27" spans="1:13" ht="20.25" customHeight="1" x14ac:dyDescent="0.15">
      <c r="A27" s="81">
        <v>26</v>
      </c>
      <c r="B27" s="81" t="s">
        <v>259</v>
      </c>
      <c r="C27" s="81" t="s">
        <v>261</v>
      </c>
      <c r="D27" s="201" t="s">
        <v>245</v>
      </c>
      <c r="E27" s="81" t="s">
        <v>40</v>
      </c>
      <c r="F27" s="81" t="s">
        <v>74</v>
      </c>
      <c r="G27" s="81">
        <f t="shared" si="0"/>
        <v>30</v>
      </c>
      <c r="H27" s="81">
        <f t="shared" si="1"/>
        <v>137</v>
      </c>
      <c r="I27" s="81">
        <f t="shared" si="2"/>
        <v>59</v>
      </c>
      <c r="J27" s="81">
        <f>VLOOKUP(F27,'KOTRA 기준단가'!$I$1:$J$7,2,0)</f>
        <v>1190</v>
      </c>
      <c r="K27" s="82">
        <f t="shared" si="5"/>
        <v>268940</v>
      </c>
      <c r="L27" s="82">
        <f t="shared" si="6"/>
        <v>163030</v>
      </c>
    </row>
    <row r="28" spans="1:13" ht="20.25" customHeight="1" x14ac:dyDescent="0.15">
      <c r="A28" s="81">
        <v>27</v>
      </c>
      <c r="B28" s="81" t="s">
        <v>259</v>
      </c>
      <c r="C28" s="81" t="s">
        <v>261</v>
      </c>
      <c r="D28" s="201" t="s">
        <v>245</v>
      </c>
      <c r="E28" s="81" t="s">
        <v>264</v>
      </c>
      <c r="F28" s="81" t="s">
        <v>74</v>
      </c>
      <c r="G28" s="81">
        <f t="shared" si="0"/>
        <v>30</v>
      </c>
      <c r="H28" s="81">
        <f t="shared" si="1"/>
        <v>137</v>
      </c>
      <c r="I28" s="81">
        <f t="shared" si="2"/>
        <v>59</v>
      </c>
      <c r="J28" s="81">
        <f>VLOOKUP(F28,'KOTRA 기준단가'!$I$1:$J$7,2,0)</f>
        <v>1190</v>
      </c>
      <c r="K28" s="82">
        <f t="shared" si="5"/>
        <v>268940</v>
      </c>
      <c r="L28" s="82">
        <f t="shared" si="6"/>
        <v>163030</v>
      </c>
    </row>
    <row r="29" spans="1:13" ht="20.25" customHeight="1" x14ac:dyDescent="0.15">
      <c r="A29" s="81">
        <v>28</v>
      </c>
      <c r="B29" s="81" t="s">
        <v>259</v>
      </c>
      <c r="C29" s="81" t="s">
        <v>261</v>
      </c>
      <c r="D29" s="201" t="s">
        <v>245</v>
      </c>
      <c r="E29" s="81" t="s">
        <v>265</v>
      </c>
      <c r="F29" s="81" t="s">
        <v>74</v>
      </c>
      <c r="G29" s="81">
        <f t="shared" si="0"/>
        <v>30</v>
      </c>
      <c r="H29" s="81">
        <f t="shared" si="1"/>
        <v>137</v>
      </c>
      <c r="I29" s="81">
        <f t="shared" si="2"/>
        <v>59</v>
      </c>
      <c r="J29" s="81">
        <f>VLOOKUP(F29,'KOTRA 기준단가'!$I$1:$J$7,2,0)</f>
        <v>1190</v>
      </c>
      <c r="K29" s="82">
        <f t="shared" si="5"/>
        <v>268940</v>
      </c>
      <c r="L29" s="82">
        <f t="shared" si="6"/>
        <v>163030</v>
      </c>
    </row>
    <row r="30" spans="1:13" ht="20.25" customHeight="1" x14ac:dyDescent="0.15">
      <c r="A30" s="81">
        <v>29</v>
      </c>
      <c r="B30" s="81" t="s">
        <v>259</v>
      </c>
      <c r="C30" s="81" t="s">
        <v>261</v>
      </c>
      <c r="D30" s="201" t="s">
        <v>245</v>
      </c>
      <c r="E30" s="83" t="s">
        <v>266</v>
      </c>
      <c r="F30" s="81" t="s">
        <v>74</v>
      </c>
      <c r="G30" s="81">
        <f t="shared" si="0"/>
        <v>30</v>
      </c>
      <c r="H30" s="81">
        <f t="shared" si="1"/>
        <v>137</v>
      </c>
      <c r="I30" s="81">
        <f t="shared" si="2"/>
        <v>59</v>
      </c>
      <c r="J30" s="81">
        <f>VLOOKUP(F30,'KOTRA 기준단가'!$I$1:$J$7,2,0)</f>
        <v>1190</v>
      </c>
      <c r="K30" s="82">
        <f t="shared" si="5"/>
        <v>268940</v>
      </c>
      <c r="L30" s="82">
        <f t="shared" si="6"/>
        <v>163030</v>
      </c>
    </row>
    <row r="31" spans="1:13" ht="20.25" customHeight="1" x14ac:dyDescent="0.15">
      <c r="A31" s="81">
        <v>30</v>
      </c>
      <c r="B31" s="81" t="s">
        <v>259</v>
      </c>
      <c r="C31" s="81" t="s">
        <v>261</v>
      </c>
      <c r="D31" s="201" t="s">
        <v>245</v>
      </c>
      <c r="E31" s="81" t="s">
        <v>43</v>
      </c>
      <c r="F31" s="81" t="s">
        <v>74</v>
      </c>
      <c r="G31" s="81">
        <f t="shared" si="0"/>
        <v>30</v>
      </c>
      <c r="H31" s="81">
        <f t="shared" si="1"/>
        <v>137</v>
      </c>
      <c r="I31" s="81">
        <f t="shared" si="2"/>
        <v>59</v>
      </c>
      <c r="J31" s="81">
        <f>VLOOKUP(F31,'KOTRA 기준단가'!$I$1:$J$7,2,0)</f>
        <v>1190</v>
      </c>
      <c r="K31" s="82">
        <f t="shared" si="5"/>
        <v>268940</v>
      </c>
      <c r="L31" s="82">
        <f t="shared" si="6"/>
        <v>163030</v>
      </c>
    </row>
    <row r="32" spans="1:13" ht="20.25" customHeight="1" x14ac:dyDescent="0.15">
      <c r="A32" s="81">
        <v>31</v>
      </c>
      <c r="B32" s="81" t="s">
        <v>259</v>
      </c>
      <c r="C32" s="81" t="s">
        <v>261</v>
      </c>
      <c r="D32" s="201" t="s">
        <v>245</v>
      </c>
      <c r="E32" s="81" t="s">
        <v>267</v>
      </c>
      <c r="F32" s="81" t="s">
        <v>74</v>
      </c>
      <c r="G32" s="81">
        <f t="shared" si="0"/>
        <v>30</v>
      </c>
      <c r="H32" s="81">
        <f t="shared" si="1"/>
        <v>137</v>
      </c>
      <c r="I32" s="81">
        <f t="shared" si="2"/>
        <v>59</v>
      </c>
      <c r="J32" s="81">
        <f>VLOOKUP(F32,'KOTRA 기준단가'!$I$1:$J$7,2,0)</f>
        <v>1190</v>
      </c>
      <c r="K32" s="82">
        <f t="shared" si="5"/>
        <v>268940</v>
      </c>
      <c r="L32" s="82">
        <f t="shared" si="6"/>
        <v>163030</v>
      </c>
    </row>
    <row r="33" spans="1:13" ht="20.25" customHeight="1" x14ac:dyDescent="0.15">
      <c r="A33" s="81">
        <v>32</v>
      </c>
      <c r="B33" s="81" t="s">
        <v>259</v>
      </c>
      <c r="C33" s="81" t="s">
        <v>261</v>
      </c>
      <c r="D33" s="201" t="s">
        <v>245</v>
      </c>
      <c r="E33" s="81" t="s">
        <v>268</v>
      </c>
      <c r="F33" s="81" t="s">
        <v>74</v>
      </c>
      <c r="G33" s="81">
        <f t="shared" si="0"/>
        <v>30</v>
      </c>
      <c r="H33" s="81">
        <f t="shared" si="1"/>
        <v>137</v>
      </c>
      <c r="I33" s="81">
        <f t="shared" si="2"/>
        <v>59</v>
      </c>
      <c r="J33" s="81">
        <f>VLOOKUP(F33,'KOTRA 기준단가'!$I$1:$J$7,2,0)</f>
        <v>1190</v>
      </c>
      <c r="K33" s="82">
        <f t="shared" si="5"/>
        <v>268940</v>
      </c>
      <c r="L33" s="82">
        <f t="shared" si="6"/>
        <v>163030</v>
      </c>
      <c r="M33"/>
    </row>
    <row r="34" spans="1:13" ht="20.25" customHeight="1" x14ac:dyDescent="0.15">
      <c r="A34" s="81">
        <v>33</v>
      </c>
      <c r="B34" s="81" t="s">
        <v>259</v>
      </c>
      <c r="C34" s="81" t="s">
        <v>261</v>
      </c>
      <c r="D34" s="201" t="s">
        <v>245</v>
      </c>
      <c r="E34" s="81" t="s">
        <v>115</v>
      </c>
      <c r="F34" s="81" t="s">
        <v>74</v>
      </c>
      <c r="G34" s="81">
        <f t="shared" si="0"/>
        <v>30</v>
      </c>
      <c r="H34" s="81">
        <f t="shared" si="1"/>
        <v>137</v>
      </c>
      <c r="I34" s="81">
        <f t="shared" si="2"/>
        <v>59</v>
      </c>
      <c r="J34" s="81">
        <f>VLOOKUP(F34,'KOTRA 기준단가'!$I$1:$J$7,2,0)</f>
        <v>1190</v>
      </c>
      <c r="K34" s="82">
        <f t="shared" si="5"/>
        <v>268940</v>
      </c>
      <c r="L34" s="82">
        <f t="shared" si="6"/>
        <v>163030</v>
      </c>
      <c r="M34"/>
    </row>
    <row r="35" spans="1:13" ht="20.25" customHeight="1" x14ac:dyDescent="0.15">
      <c r="A35" s="81">
        <v>34</v>
      </c>
      <c r="B35" s="81" t="s">
        <v>259</v>
      </c>
      <c r="C35" s="81" t="s">
        <v>261</v>
      </c>
      <c r="D35" s="201" t="s">
        <v>245</v>
      </c>
      <c r="E35" s="81" t="s">
        <v>116</v>
      </c>
      <c r="F35" s="81" t="s">
        <v>74</v>
      </c>
      <c r="G35" s="81">
        <f t="shared" si="0"/>
        <v>30</v>
      </c>
      <c r="H35" s="81">
        <f t="shared" si="1"/>
        <v>137</v>
      </c>
      <c r="I35" s="81">
        <f t="shared" si="2"/>
        <v>59</v>
      </c>
      <c r="J35" s="81">
        <f>VLOOKUP(F35,'KOTRA 기준단가'!$I$1:$J$7,2,0)</f>
        <v>1190</v>
      </c>
      <c r="K35" s="82">
        <f t="shared" si="5"/>
        <v>268940</v>
      </c>
      <c r="L35" s="82">
        <f t="shared" si="6"/>
        <v>163030</v>
      </c>
      <c r="M35"/>
    </row>
    <row r="36" spans="1:13" ht="20.25" customHeight="1" x14ac:dyDescent="0.15">
      <c r="A36" s="81">
        <v>35</v>
      </c>
      <c r="B36" s="81" t="s">
        <v>259</v>
      </c>
      <c r="C36" s="81" t="s">
        <v>261</v>
      </c>
      <c r="D36" s="201" t="s">
        <v>245</v>
      </c>
      <c r="E36" s="81" t="s">
        <v>121</v>
      </c>
      <c r="F36" s="81" t="s">
        <v>74</v>
      </c>
      <c r="G36" s="81">
        <f t="shared" si="0"/>
        <v>30</v>
      </c>
      <c r="H36" s="81">
        <f t="shared" si="1"/>
        <v>137</v>
      </c>
      <c r="I36" s="81">
        <f t="shared" si="2"/>
        <v>59</v>
      </c>
      <c r="J36" s="81">
        <f>VLOOKUP(F36,'KOTRA 기준단가'!$I$1:$J$7,2,0)</f>
        <v>1190</v>
      </c>
      <c r="K36" s="82">
        <f t="shared" si="5"/>
        <v>268940</v>
      </c>
      <c r="L36" s="82">
        <f t="shared" si="6"/>
        <v>163030</v>
      </c>
      <c r="M36"/>
    </row>
    <row r="37" spans="1:13" ht="20.25" customHeight="1" x14ac:dyDescent="0.15">
      <c r="A37" s="81">
        <v>36</v>
      </c>
      <c r="B37" s="81" t="s">
        <v>259</v>
      </c>
      <c r="C37" s="81" t="s">
        <v>269</v>
      </c>
      <c r="D37" s="201" t="s">
        <v>245</v>
      </c>
      <c r="E37" s="81" t="s">
        <v>270</v>
      </c>
      <c r="F37" s="81" t="s">
        <v>74</v>
      </c>
      <c r="G37" s="81">
        <f t="shared" si="0"/>
        <v>30</v>
      </c>
      <c r="H37" s="81">
        <f t="shared" si="1"/>
        <v>137</v>
      </c>
      <c r="I37" s="81">
        <f t="shared" si="2"/>
        <v>59</v>
      </c>
      <c r="J37" s="81">
        <f>VLOOKUP(F37,'KOTRA 기준단가'!$I$1:$J$7,2,0)</f>
        <v>1190</v>
      </c>
      <c r="K37" s="82">
        <f t="shared" si="5"/>
        <v>268940</v>
      </c>
      <c r="L37" s="82">
        <f t="shared" si="6"/>
        <v>163030</v>
      </c>
    </row>
    <row r="38" spans="1:13" ht="20.25" customHeight="1" x14ac:dyDescent="0.15">
      <c r="A38" s="81">
        <v>37</v>
      </c>
      <c r="B38" s="81" t="s">
        <v>259</v>
      </c>
      <c r="C38" s="81" t="s">
        <v>269</v>
      </c>
      <c r="D38" s="201" t="s">
        <v>245</v>
      </c>
      <c r="E38" s="81" t="s">
        <v>145</v>
      </c>
      <c r="F38" s="81" t="s">
        <v>74</v>
      </c>
      <c r="G38" s="81">
        <f t="shared" si="0"/>
        <v>30</v>
      </c>
      <c r="H38" s="81">
        <f t="shared" si="1"/>
        <v>137</v>
      </c>
      <c r="I38" s="81">
        <f t="shared" si="2"/>
        <v>59</v>
      </c>
      <c r="J38" s="81">
        <f>VLOOKUP(F38,'KOTRA 기준단가'!$I$1:$J$7,2,0)</f>
        <v>1190</v>
      </c>
      <c r="K38" s="82">
        <f t="shared" si="5"/>
        <v>268940</v>
      </c>
      <c r="L38" s="82">
        <f t="shared" si="6"/>
        <v>163030</v>
      </c>
      <c r="M38"/>
    </row>
    <row r="39" spans="1:13" ht="20.25" customHeight="1" x14ac:dyDescent="0.15">
      <c r="A39" s="81">
        <v>38</v>
      </c>
      <c r="B39" s="81" t="s">
        <v>259</v>
      </c>
      <c r="C39" s="81" t="s">
        <v>271</v>
      </c>
      <c r="D39" s="201" t="s">
        <v>245</v>
      </c>
      <c r="E39" s="81" t="s">
        <v>147</v>
      </c>
      <c r="F39" s="81" t="s">
        <v>74</v>
      </c>
      <c r="G39" s="81">
        <f t="shared" si="0"/>
        <v>30</v>
      </c>
      <c r="H39" s="81">
        <f t="shared" si="1"/>
        <v>137</v>
      </c>
      <c r="I39" s="81">
        <f t="shared" si="2"/>
        <v>59</v>
      </c>
      <c r="J39" s="81">
        <f>VLOOKUP(F39,'KOTRA 기준단가'!$I$1:$J$7,2,0)</f>
        <v>1190</v>
      </c>
      <c r="K39" s="82">
        <f t="shared" si="5"/>
        <v>268940</v>
      </c>
      <c r="L39" s="82">
        <f t="shared" si="6"/>
        <v>163030</v>
      </c>
      <c r="M39"/>
    </row>
    <row r="40" spans="1:13" ht="20.25" customHeight="1" x14ac:dyDescent="0.15">
      <c r="A40" s="81">
        <v>39</v>
      </c>
      <c r="B40" s="81" t="s">
        <v>259</v>
      </c>
      <c r="C40" s="81" t="s">
        <v>272</v>
      </c>
      <c r="D40" s="201" t="s">
        <v>245</v>
      </c>
      <c r="E40" s="81" t="s">
        <v>46</v>
      </c>
      <c r="F40" s="81" t="s">
        <v>74</v>
      </c>
      <c r="G40" s="81">
        <f t="shared" si="0"/>
        <v>30</v>
      </c>
      <c r="H40" s="81">
        <f t="shared" si="1"/>
        <v>137</v>
      </c>
      <c r="I40" s="81">
        <f t="shared" si="2"/>
        <v>59</v>
      </c>
      <c r="J40" s="81">
        <f>VLOOKUP(F40,'KOTRA 기준단가'!$I$1:$J$7,2,0)</f>
        <v>1190</v>
      </c>
      <c r="K40" s="82">
        <f t="shared" si="5"/>
        <v>268940</v>
      </c>
      <c r="L40" s="82">
        <f t="shared" si="6"/>
        <v>163030</v>
      </c>
    </row>
    <row r="41" spans="1:13" ht="20.25" customHeight="1" x14ac:dyDescent="0.15">
      <c r="A41" s="81">
        <v>40</v>
      </c>
      <c r="B41" s="81" t="s">
        <v>259</v>
      </c>
      <c r="C41" s="81" t="s">
        <v>272</v>
      </c>
      <c r="D41" s="201" t="s">
        <v>245</v>
      </c>
      <c r="E41" s="81" t="s">
        <v>273</v>
      </c>
      <c r="F41" s="81" t="s">
        <v>74</v>
      </c>
      <c r="G41" s="81">
        <f t="shared" si="0"/>
        <v>30</v>
      </c>
      <c r="H41" s="81">
        <f t="shared" si="1"/>
        <v>137</v>
      </c>
      <c r="I41" s="81">
        <f t="shared" si="2"/>
        <v>59</v>
      </c>
      <c r="J41" s="81">
        <f>VLOOKUP(F41,'KOTRA 기준단가'!$I$1:$J$7,2,0)</f>
        <v>1190</v>
      </c>
      <c r="K41" s="82">
        <f t="shared" si="5"/>
        <v>268940</v>
      </c>
      <c r="L41" s="82">
        <f t="shared" si="6"/>
        <v>163030</v>
      </c>
      <c r="M41"/>
    </row>
    <row r="42" spans="1:13" ht="20.25" customHeight="1" x14ac:dyDescent="0.15">
      <c r="A42" s="81">
        <v>41</v>
      </c>
      <c r="B42" s="81" t="s">
        <v>259</v>
      </c>
      <c r="C42" s="81" t="s">
        <v>272</v>
      </c>
      <c r="D42" s="201" t="s">
        <v>245</v>
      </c>
      <c r="E42" s="81" t="s">
        <v>274</v>
      </c>
      <c r="F42" s="81" t="s">
        <v>74</v>
      </c>
      <c r="G42" s="81">
        <f t="shared" si="0"/>
        <v>30</v>
      </c>
      <c r="H42" s="81">
        <f t="shared" si="1"/>
        <v>137</v>
      </c>
      <c r="I42" s="81">
        <f t="shared" si="2"/>
        <v>59</v>
      </c>
      <c r="J42" s="81">
        <f>VLOOKUP(F42,'KOTRA 기준단가'!$I$1:$J$7,2,0)</f>
        <v>1190</v>
      </c>
      <c r="K42" s="82">
        <f t="shared" si="5"/>
        <v>268940</v>
      </c>
      <c r="L42" s="82">
        <f t="shared" si="6"/>
        <v>163030</v>
      </c>
      <c r="M42"/>
    </row>
    <row r="43" spans="1:13" ht="20.25" customHeight="1" x14ac:dyDescent="0.15">
      <c r="A43" s="81">
        <v>42</v>
      </c>
      <c r="B43" s="81" t="s">
        <v>275</v>
      </c>
      <c r="C43" s="81" t="s">
        <v>276</v>
      </c>
      <c r="D43" s="201" t="s">
        <v>245</v>
      </c>
      <c r="E43" s="81" t="s">
        <v>110</v>
      </c>
      <c r="F43" s="81" t="s">
        <v>74</v>
      </c>
      <c r="G43" s="81">
        <f t="shared" si="0"/>
        <v>30</v>
      </c>
      <c r="H43" s="81">
        <f t="shared" si="1"/>
        <v>137</v>
      </c>
      <c r="I43" s="81">
        <f t="shared" si="2"/>
        <v>59</v>
      </c>
      <c r="J43" s="81">
        <f>VLOOKUP(F43,'KOTRA 기준단가'!$I$1:$J$7,2,0)</f>
        <v>1190</v>
      </c>
      <c r="K43" s="82">
        <f t="shared" si="5"/>
        <v>268940</v>
      </c>
      <c r="L43" s="82">
        <f t="shared" si="6"/>
        <v>163030</v>
      </c>
      <c r="M43"/>
    </row>
    <row r="44" spans="1:13" ht="20.25" customHeight="1" x14ac:dyDescent="0.15">
      <c r="A44" s="81">
        <v>43</v>
      </c>
      <c r="B44" s="81" t="s">
        <v>275</v>
      </c>
      <c r="C44" s="81" t="s">
        <v>277</v>
      </c>
      <c r="D44" s="201" t="s">
        <v>245</v>
      </c>
      <c r="E44" s="81" t="s">
        <v>89</v>
      </c>
      <c r="F44" s="81" t="s">
        <v>74</v>
      </c>
      <c r="G44" s="81">
        <f t="shared" si="0"/>
        <v>30</v>
      </c>
      <c r="H44" s="81">
        <f t="shared" si="1"/>
        <v>137</v>
      </c>
      <c r="I44" s="81">
        <f t="shared" si="2"/>
        <v>59</v>
      </c>
      <c r="J44" s="81">
        <f>VLOOKUP(F44,'KOTRA 기준단가'!$I$1:$J$7,2,0)</f>
        <v>1190</v>
      </c>
      <c r="K44" s="82">
        <f t="shared" si="5"/>
        <v>268940</v>
      </c>
      <c r="L44" s="82">
        <f t="shared" si="6"/>
        <v>163030</v>
      </c>
    </row>
    <row r="45" spans="1:13" ht="20.25" customHeight="1" x14ac:dyDescent="0.15">
      <c r="A45" s="81">
        <v>44</v>
      </c>
      <c r="B45" s="81" t="s">
        <v>275</v>
      </c>
      <c r="C45" s="81" t="s">
        <v>278</v>
      </c>
      <c r="D45" s="201" t="s">
        <v>245</v>
      </c>
      <c r="E45" s="81" t="s">
        <v>112</v>
      </c>
      <c r="F45" s="81" t="s">
        <v>74</v>
      </c>
      <c r="G45" s="81">
        <f t="shared" si="0"/>
        <v>30</v>
      </c>
      <c r="H45" s="81">
        <f t="shared" si="1"/>
        <v>137</v>
      </c>
      <c r="I45" s="81">
        <f t="shared" si="2"/>
        <v>59</v>
      </c>
      <c r="J45" s="81">
        <f>VLOOKUP(F45,'KOTRA 기준단가'!$I$1:$J$7,2,0)</f>
        <v>1190</v>
      </c>
      <c r="K45" s="82">
        <f t="shared" si="5"/>
        <v>268940</v>
      </c>
      <c r="L45" s="82">
        <f t="shared" si="6"/>
        <v>163030</v>
      </c>
      <c r="M45"/>
    </row>
    <row r="46" spans="1:13" ht="20.25" customHeight="1" x14ac:dyDescent="0.15">
      <c r="A46" s="81">
        <v>45</v>
      </c>
      <c r="B46" s="81" t="s">
        <v>275</v>
      </c>
      <c r="C46" s="81" t="s">
        <v>279</v>
      </c>
      <c r="D46" s="201" t="s">
        <v>245</v>
      </c>
      <c r="E46" s="81" t="s">
        <v>280</v>
      </c>
      <c r="F46" s="81" t="s">
        <v>74</v>
      </c>
      <c r="G46" s="81">
        <f t="shared" si="0"/>
        <v>30</v>
      </c>
      <c r="H46" s="81">
        <f t="shared" si="1"/>
        <v>137</v>
      </c>
      <c r="I46" s="81">
        <f t="shared" si="2"/>
        <v>59</v>
      </c>
      <c r="J46" s="81">
        <f>VLOOKUP(F46,'KOTRA 기준단가'!$I$1:$J$7,2,0)</f>
        <v>1190</v>
      </c>
      <c r="K46" s="82">
        <f t="shared" si="5"/>
        <v>268940</v>
      </c>
      <c r="L46" s="82">
        <f t="shared" si="6"/>
        <v>163030</v>
      </c>
    </row>
    <row r="47" spans="1:13" ht="20.25" customHeight="1" x14ac:dyDescent="0.15">
      <c r="A47" s="81">
        <v>46</v>
      </c>
      <c r="B47" s="81" t="s">
        <v>275</v>
      </c>
      <c r="C47" s="81" t="s">
        <v>279</v>
      </c>
      <c r="D47" s="201" t="s">
        <v>245</v>
      </c>
      <c r="E47" s="81" t="s">
        <v>50</v>
      </c>
      <c r="F47" s="81" t="s">
        <v>74</v>
      </c>
      <c r="G47" s="81">
        <f t="shared" si="0"/>
        <v>30</v>
      </c>
      <c r="H47" s="81">
        <f t="shared" si="1"/>
        <v>137</v>
      </c>
      <c r="I47" s="81">
        <f t="shared" si="2"/>
        <v>59</v>
      </c>
      <c r="J47" s="81">
        <f>VLOOKUP(F47,'KOTRA 기준단가'!$I$1:$J$7,2,0)</f>
        <v>1190</v>
      </c>
      <c r="K47" s="82">
        <f t="shared" si="5"/>
        <v>268940</v>
      </c>
      <c r="L47" s="82">
        <f t="shared" si="6"/>
        <v>163030</v>
      </c>
    </row>
    <row r="48" spans="1:13" ht="20.25" customHeight="1" x14ac:dyDescent="0.15">
      <c r="A48" s="81">
        <v>47</v>
      </c>
      <c r="B48" s="81" t="s">
        <v>275</v>
      </c>
      <c r="C48" s="81" t="s">
        <v>279</v>
      </c>
      <c r="D48" s="201" t="s">
        <v>245</v>
      </c>
      <c r="E48" s="81" t="s">
        <v>281</v>
      </c>
      <c r="F48" s="81" t="s">
        <v>74</v>
      </c>
      <c r="G48" s="81">
        <f t="shared" si="0"/>
        <v>30</v>
      </c>
      <c r="H48" s="81">
        <f t="shared" si="1"/>
        <v>137</v>
      </c>
      <c r="I48" s="81">
        <f t="shared" si="2"/>
        <v>59</v>
      </c>
      <c r="J48" s="81">
        <f>VLOOKUP(F48,'KOTRA 기준단가'!$I$1:$J$7,2,0)</f>
        <v>1190</v>
      </c>
      <c r="K48" s="82">
        <f t="shared" si="5"/>
        <v>268940</v>
      </c>
      <c r="L48" s="82">
        <f t="shared" si="6"/>
        <v>163030</v>
      </c>
    </row>
    <row r="49" spans="1:13" ht="20.25" customHeight="1" x14ac:dyDescent="0.15">
      <c r="A49" s="81">
        <v>48</v>
      </c>
      <c r="B49" s="81" t="s">
        <v>275</v>
      </c>
      <c r="C49" s="81" t="s">
        <v>279</v>
      </c>
      <c r="D49" s="201" t="s">
        <v>245</v>
      </c>
      <c r="E49" s="81" t="s">
        <v>282</v>
      </c>
      <c r="F49" s="81" t="s">
        <v>74</v>
      </c>
      <c r="G49" s="81">
        <f t="shared" si="0"/>
        <v>30</v>
      </c>
      <c r="H49" s="81">
        <f t="shared" si="1"/>
        <v>137</v>
      </c>
      <c r="I49" s="81">
        <f t="shared" si="2"/>
        <v>59</v>
      </c>
      <c r="J49" s="81">
        <f>VLOOKUP(F49,'KOTRA 기준단가'!$I$1:$J$7,2,0)</f>
        <v>1190</v>
      </c>
      <c r="K49" s="82">
        <f t="shared" si="5"/>
        <v>268940</v>
      </c>
      <c r="L49" s="82">
        <f t="shared" si="6"/>
        <v>163030</v>
      </c>
    </row>
    <row r="50" spans="1:13" ht="20.25" customHeight="1" x14ac:dyDescent="0.15">
      <c r="A50" s="81">
        <v>49</v>
      </c>
      <c r="B50" s="81" t="s">
        <v>275</v>
      </c>
      <c r="C50" s="81" t="s">
        <v>279</v>
      </c>
      <c r="D50" s="201" t="s">
        <v>245</v>
      </c>
      <c r="E50" s="83" t="s">
        <v>283</v>
      </c>
      <c r="F50" s="81" t="s">
        <v>74</v>
      </c>
      <c r="G50" s="81">
        <f t="shared" si="0"/>
        <v>30</v>
      </c>
      <c r="H50" s="81">
        <f t="shared" si="1"/>
        <v>137</v>
      </c>
      <c r="I50" s="81">
        <f t="shared" si="2"/>
        <v>59</v>
      </c>
      <c r="J50" s="81">
        <f>VLOOKUP(F50,'KOTRA 기준단가'!$I$1:$J$7,2,0)</f>
        <v>1190</v>
      </c>
      <c r="K50" s="82">
        <f t="shared" si="5"/>
        <v>268940</v>
      </c>
      <c r="L50" s="82">
        <f t="shared" si="6"/>
        <v>163030</v>
      </c>
    </row>
    <row r="51" spans="1:13" ht="20.25" customHeight="1" x14ac:dyDescent="0.15">
      <c r="A51" s="81">
        <v>50</v>
      </c>
      <c r="B51" s="81" t="s">
        <v>275</v>
      </c>
      <c r="C51" s="81" t="s">
        <v>279</v>
      </c>
      <c r="D51" s="201" t="s">
        <v>245</v>
      </c>
      <c r="E51" s="81" t="s">
        <v>284</v>
      </c>
      <c r="F51" s="81" t="s">
        <v>74</v>
      </c>
      <c r="G51" s="81">
        <f t="shared" si="0"/>
        <v>30</v>
      </c>
      <c r="H51" s="81">
        <f t="shared" si="1"/>
        <v>137</v>
      </c>
      <c r="I51" s="81">
        <f t="shared" si="2"/>
        <v>59</v>
      </c>
      <c r="J51" s="81">
        <f>VLOOKUP(F51,'KOTRA 기준단가'!$I$1:$J$7,2,0)</f>
        <v>1190</v>
      </c>
      <c r="K51" s="82">
        <f t="shared" si="5"/>
        <v>268940</v>
      </c>
      <c r="L51" s="82">
        <f t="shared" si="6"/>
        <v>163030</v>
      </c>
    </row>
    <row r="52" spans="1:13" ht="20.25" customHeight="1" x14ac:dyDescent="0.15">
      <c r="A52" s="81">
        <v>51</v>
      </c>
      <c r="B52" s="81" t="s">
        <v>275</v>
      </c>
      <c r="C52" s="81" t="s">
        <v>279</v>
      </c>
      <c r="D52" s="201" t="s">
        <v>245</v>
      </c>
      <c r="E52" s="81" t="s">
        <v>48</v>
      </c>
      <c r="F52" s="81" t="s">
        <v>74</v>
      </c>
      <c r="G52" s="81">
        <f t="shared" si="0"/>
        <v>30</v>
      </c>
      <c r="H52" s="81">
        <f t="shared" si="1"/>
        <v>137</v>
      </c>
      <c r="I52" s="81">
        <f t="shared" si="2"/>
        <v>59</v>
      </c>
      <c r="J52" s="81">
        <f>VLOOKUP(F52,'KOTRA 기준단가'!$I$1:$J$7,2,0)</f>
        <v>1190</v>
      </c>
      <c r="K52" s="82">
        <f t="shared" si="5"/>
        <v>268940</v>
      </c>
      <c r="L52" s="82">
        <f t="shared" si="6"/>
        <v>163030</v>
      </c>
    </row>
    <row r="53" spans="1:13" ht="20.25" customHeight="1" x14ac:dyDescent="0.15">
      <c r="A53" s="81">
        <v>52</v>
      </c>
      <c r="B53" s="81" t="s">
        <v>275</v>
      </c>
      <c r="C53" s="81" t="s">
        <v>279</v>
      </c>
      <c r="D53" s="201" t="s">
        <v>245</v>
      </c>
      <c r="E53" s="81" t="s">
        <v>285</v>
      </c>
      <c r="F53" s="81" t="s">
        <v>74</v>
      </c>
      <c r="G53" s="81">
        <f t="shared" si="0"/>
        <v>30</v>
      </c>
      <c r="H53" s="81">
        <f t="shared" si="1"/>
        <v>137</v>
      </c>
      <c r="I53" s="81">
        <f t="shared" si="2"/>
        <v>59</v>
      </c>
      <c r="J53" s="81">
        <f>VLOOKUP(F53,'KOTRA 기준단가'!$I$1:$J$7,2,0)</f>
        <v>1190</v>
      </c>
      <c r="K53" s="82">
        <f t="shared" si="5"/>
        <v>268940</v>
      </c>
      <c r="L53" s="82">
        <f t="shared" si="6"/>
        <v>163030</v>
      </c>
    </row>
    <row r="54" spans="1:13" ht="20.25" customHeight="1" x14ac:dyDescent="0.15">
      <c r="A54" s="81">
        <v>53</v>
      </c>
      <c r="B54" s="81" t="s">
        <v>275</v>
      </c>
      <c r="C54" s="81" t="s">
        <v>279</v>
      </c>
      <c r="D54" s="201" t="s">
        <v>245</v>
      </c>
      <c r="E54" s="81" t="s">
        <v>51</v>
      </c>
      <c r="F54" s="81" t="s">
        <v>74</v>
      </c>
      <c r="G54" s="81">
        <f t="shared" si="0"/>
        <v>30</v>
      </c>
      <c r="H54" s="81">
        <f t="shared" si="1"/>
        <v>137</v>
      </c>
      <c r="I54" s="81">
        <f t="shared" si="2"/>
        <v>59</v>
      </c>
      <c r="J54" s="81">
        <f>VLOOKUP(F54,'KOTRA 기준단가'!$I$1:$J$7,2,0)</f>
        <v>1190</v>
      </c>
      <c r="K54" s="82">
        <f t="shared" si="5"/>
        <v>268940</v>
      </c>
      <c r="L54" s="82">
        <f t="shared" si="6"/>
        <v>163030</v>
      </c>
    </row>
    <row r="55" spans="1:13" ht="20.25" customHeight="1" x14ac:dyDescent="0.15">
      <c r="A55" s="81">
        <v>54</v>
      </c>
      <c r="B55" s="81" t="s">
        <v>275</v>
      </c>
      <c r="C55" s="81" t="s">
        <v>286</v>
      </c>
      <c r="D55" s="201" t="s">
        <v>245</v>
      </c>
      <c r="E55" s="81" t="s">
        <v>58</v>
      </c>
      <c r="F55" s="81" t="s">
        <v>74</v>
      </c>
      <c r="G55" s="81">
        <f t="shared" si="0"/>
        <v>30</v>
      </c>
      <c r="H55" s="81">
        <f t="shared" si="1"/>
        <v>137</v>
      </c>
      <c r="I55" s="81">
        <f t="shared" si="2"/>
        <v>59</v>
      </c>
      <c r="J55" s="81">
        <f>VLOOKUP(F55,'KOTRA 기준단가'!$I$1:$J$7,2,0)</f>
        <v>1190</v>
      </c>
      <c r="K55" s="82">
        <f t="shared" si="5"/>
        <v>268940</v>
      </c>
      <c r="L55" s="82">
        <f t="shared" si="6"/>
        <v>163030</v>
      </c>
    </row>
    <row r="56" spans="1:13" ht="20.25" customHeight="1" x14ac:dyDescent="0.15">
      <c r="A56" s="81">
        <v>55</v>
      </c>
      <c r="B56" s="81" t="s">
        <v>275</v>
      </c>
      <c r="C56" s="81" t="s">
        <v>286</v>
      </c>
      <c r="D56" s="201" t="s">
        <v>245</v>
      </c>
      <c r="E56" s="81" t="s">
        <v>171</v>
      </c>
      <c r="F56" s="81" t="s">
        <v>74</v>
      </c>
      <c r="G56" s="81">
        <f t="shared" si="0"/>
        <v>30</v>
      </c>
      <c r="H56" s="81">
        <f t="shared" si="1"/>
        <v>137</v>
      </c>
      <c r="I56" s="81">
        <f t="shared" si="2"/>
        <v>59</v>
      </c>
      <c r="J56" s="81">
        <f>VLOOKUP(F56,'KOTRA 기준단가'!$I$1:$J$7,2,0)</f>
        <v>1190</v>
      </c>
      <c r="K56" s="82">
        <f t="shared" si="5"/>
        <v>268940</v>
      </c>
      <c r="L56" s="82">
        <f t="shared" si="6"/>
        <v>163030</v>
      </c>
      <c r="M56"/>
    </row>
    <row r="57" spans="1:13" ht="20.25" customHeight="1" x14ac:dyDescent="0.15">
      <c r="A57" s="81">
        <v>56</v>
      </c>
      <c r="B57" s="81" t="s">
        <v>275</v>
      </c>
      <c r="C57" s="81" t="s">
        <v>286</v>
      </c>
      <c r="D57" s="201" t="s">
        <v>245</v>
      </c>
      <c r="E57" s="81" t="s">
        <v>168</v>
      </c>
      <c r="F57" s="81" t="s">
        <v>74</v>
      </c>
      <c r="G57" s="81">
        <f t="shared" si="0"/>
        <v>30</v>
      </c>
      <c r="H57" s="81">
        <f t="shared" si="1"/>
        <v>137</v>
      </c>
      <c r="I57" s="81">
        <f t="shared" si="2"/>
        <v>59</v>
      </c>
      <c r="J57" s="81">
        <f>VLOOKUP(F57,'KOTRA 기준단가'!$I$1:$J$7,2,0)</f>
        <v>1190</v>
      </c>
      <c r="K57" s="82">
        <f t="shared" si="5"/>
        <v>268940</v>
      </c>
      <c r="L57" s="82">
        <f t="shared" si="6"/>
        <v>163030</v>
      </c>
      <c r="M57"/>
    </row>
    <row r="58" spans="1:13" ht="20.25" customHeight="1" x14ac:dyDescent="0.15">
      <c r="A58" s="81">
        <v>57</v>
      </c>
      <c r="B58" s="81" t="s">
        <v>275</v>
      </c>
      <c r="C58" s="81" t="s">
        <v>287</v>
      </c>
      <c r="D58" s="201" t="s">
        <v>245</v>
      </c>
      <c r="E58" s="81" t="s">
        <v>106</v>
      </c>
      <c r="F58" s="81" t="s">
        <v>74</v>
      </c>
      <c r="G58" s="81">
        <f t="shared" si="0"/>
        <v>30</v>
      </c>
      <c r="H58" s="81">
        <f t="shared" si="1"/>
        <v>137</v>
      </c>
      <c r="I58" s="81">
        <f t="shared" si="2"/>
        <v>59</v>
      </c>
      <c r="J58" s="81">
        <f>VLOOKUP(F58,'KOTRA 기준단가'!$I$1:$J$7,2,0)</f>
        <v>1190</v>
      </c>
      <c r="K58" s="82">
        <f t="shared" si="5"/>
        <v>268940</v>
      </c>
      <c r="L58" s="82">
        <f t="shared" si="6"/>
        <v>163030</v>
      </c>
      <c r="M58"/>
    </row>
    <row r="59" spans="1:13" ht="20.25" customHeight="1" x14ac:dyDescent="0.15">
      <c r="A59" s="81">
        <v>58</v>
      </c>
      <c r="B59" s="81" t="s">
        <v>275</v>
      </c>
      <c r="C59" s="81" t="s">
        <v>288</v>
      </c>
      <c r="D59" s="201" t="s">
        <v>245</v>
      </c>
      <c r="E59" s="81" t="s">
        <v>109</v>
      </c>
      <c r="F59" s="81" t="s">
        <v>74</v>
      </c>
      <c r="G59" s="81">
        <f t="shared" si="0"/>
        <v>30</v>
      </c>
      <c r="H59" s="81">
        <f t="shared" si="1"/>
        <v>137</v>
      </c>
      <c r="I59" s="81">
        <f t="shared" si="2"/>
        <v>59</v>
      </c>
      <c r="J59" s="81">
        <f>VLOOKUP(F59,'KOTRA 기준단가'!$I$1:$J$7,2,0)</f>
        <v>1190</v>
      </c>
      <c r="K59" s="82">
        <f t="shared" si="5"/>
        <v>268940</v>
      </c>
      <c r="L59" s="82">
        <f t="shared" si="6"/>
        <v>163030</v>
      </c>
      <c r="M59"/>
    </row>
    <row r="60" spans="1:13" ht="20.25" customHeight="1" x14ac:dyDescent="0.15">
      <c r="A60" s="81">
        <v>59</v>
      </c>
      <c r="B60" s="81" t="s">
        <v>275</v>
      </c>
      <c r="C60" s="81" t="s">
        <v>289</v>
      </c>
      <c r="D60" s="201" t="s">
        <v>245</v>
      </c>
      <c r="E60" s="81" t="s">
        <v>290</v>
      </c>
      <c r="F60" s="81" t="s">
        <v>74</v>
      </c>
      <c r="G60" s="81">
        <f t="shared" si="0"/>
        <v>30</v>
      </c>
      <c r="H60" s="81">
        <f t="shared" si="1"/>
        <v>137</v>
      </c>
      <c r="I60" s="81">
        <f t="shared" si="2"/>
        <v>59</v>
      </c>
      <c r="J60" s="81">
        <f>VLOOKUP(F60,'KOTRA 기준단가'!$I$1:$J$7,2,0)</f>
        <v>1190</v>
      </c>
      <c r="K60" s="82">
        <f t="shared" si="5"/>
        <v>268940</v>
      </c>
      <c r="L60" s="82">
        <f t="shared" si="6"/>
        <v>163030</v>
      </c>
      <c r="M60"/>
    </row>
    <row r="61" spans="1:13" ht="20.25" customHeight="1" x14ac:dyDescent="0.15">
      <c r="A61" s="81">
        <v>60</v>
      </c>
      <c r="B61" s="81" t="s">
        <v>275</v>
      </c>
      <c r="C61" s="81" t="s">
        <v>291</v>
      </c>
      <c r="D61" s="201" t="s">
        <v>245</v>
      </c>
      <c r="E61" s="81" t="s">
        <v>102</v>
      </c>
      <c r="F61" s="81" t="s">
        <v>74</v>
      </c>
      <c r="G61" s="81">
        <f t="shared" si="0"/>
        <v>30</v>
      </c>
      <c r="H61" s="81">
        <f t="shared" si="1"/>
        <v>137</v>
      </c>
      <c r="I61" s="81">
        <f t="shared" si="2"/>
        <v>59</v>
      </c>
      <c r="J61" s="81">
        <f>VLOOKUP(F61,'KOTRA 기준단가'!$I$1:$J$7,2,0)</f>
        <v>1190</v>
      </c>
      <c r="K61" s="82">
        <f t="shared" si="5"/>
        <v>268940</v>
      </c>
      <c r="L61" s="82">
        <f t="shared" si="6"/>
        <v>163030</v>
      </c>
      <c r="M61"/>
    </row>
    <row r="62" spans="1:13" ht="20.25" customHeight="1" x14ac:dyDescent="0.15">
      <c r="A62" s="81">
        <v>61</v>
      </c>
      <c r="B62" s="81" t="s">
        <v>275</v>
      </c>
      <c r="C62" s="81" t="s">
        <v>292</v>
      </c>
      <c r="D62" s="201" t="s">
        <v>245</v>
      </c>
      <c r="E62" s="81" t="s">
        <v>293</v>
      </c>
      <c r="F62" s="81" t="s">
        <v>74</v>
      </c>
      <c r="G62" s="81">
        <f t="shared" si="0"/>
        <v>30</v>
      </c>
      <c r="H62" s="81">
        <f t="shared" si="1"/>
        <v>137</v>
      </c>
      <c r="I62" s="81">
        <f t="shared" si="2"/>
        <v>59</v>
      </c>
      <c r="J62" s="81">
        <f>VLOOKUP(F62,'KOTRA 기준단가'!$I$1:$J$7,2,0)</f>
        <v>1190</v>
      </c>
      <c r="K62" s="82">
        <f t="shared" si="5"/>
        <v>268940</v>
      </c>
      <c r="L62" s="82">
        <f t="shared" si="6"/>
        <v>163030</v>
      </c>
    </row>
    <row r="63" spans="1:13" ht="20.25" customHeight="1" x14ac:dyDescent="0.15">
      <c r="A63" s="81">
        <v>62</v>
      </c>
      <c r="B63" s="81" t="s">
        <v>275</v>
      </c>
      <c r="C63" s="81" t="s">
        <v>294</v>
      </c>
      <c r="D63" s="201" t="s">
        <v>245</v>
      </c>
      <c r="E63" s="81" t="s">
        <v>107</v>
      </c>
      <c r="F63" s="81" t="s">
        <v>74</v>
      </c>
      <c r="G63" s="81">
        <f t="shared" si="0"/>
        <v>30</v>
      </c>
      <c r="H63" s="81">
        <f t="shared" si="1"/>
        <v>137</v>
      </c>
      <c r="I63" s="81">
        <f t="shared" si="2"/>
        <v>59</v>
      </c>
      <c r="J63" s="81">
        <f>VLOOKUP(F63,'KOTRA 기준단가'!$I$1:$J$7,2,0)</f>
        <v>1190</v>
      </c>
      <c r="K63" s="82">
        <f t="shared" si="5"/>
        <v>268940</v>
      </c>
      <c r="L63" s="82">
        <f t="shared" si="6"/>
        <v>163030</v>
      </c>
      <c r="M63"/>
    </row>
    <row r="64" spans="1:13" ht="20.25" customHeight="1" x14ac:dyDescent="0.15">
      <c r="A64" s="81">
        <v>63</v>
      </c>
      <c r="B64" s="81" t="s">
        <v>275</v>
      </c>
      <c r="C64" s="81" t="s">
        <v>295</v>
      </c>
      <c r="D64" s="201" t="s">
        <v>245</v>
      </c>
      <c r="E64" s="81" t="s">
        <v>90</v>
      </c>
      <c r="F64" s="81" t="s">
        <v>74</v>
      </c>
      <c r="G64" s="81">
        <f t="shared" si="0"/>
        <v>30</v>
      </c>
      <c r="H64" s="81">
        <f t="shared" si="1"/>
        <v>137</v>
      </c>
      <c r="I64" s="81">
        <f t="shared" si="2"/>
        <v>59</v>
      </c>
      <c r="J64" s="81">
        <f>VLOOKUP(F64,'KOTRA 기준단가'!$I$1:$J$7,2,0)</f>
        <v>1190</v>
      </c>
      <c r="K64" s="82">
        <f t="shared" si="5"/>
        <v>268940</v>
      </c>
      <c r="L64" s="82">
        <f t="shared" si="6"/>
        <v>163030</v>
      </c>
    </row>
    <row r="65" spans="1:13" ht="20.25" customHeight="1" x14ac:dyDescent="0.15">
      <c r="A65" s="81">
        <v>64</v>
      </c>
      <c r="B65" s="81" t="s">
        <v>275</v>
      </c>
      <c r="C65" s="81" t="s">
        <v>296</v>
      </c>
      <c r="D65" s="201" t="s">
        <v>245</v>
      </c>
      <c r="E65" s="81" t="s">
        <v>52</v>
      </c>
      <c r="F65" s="81" t="s">
        <v>74</v>
      </c>
      <c r="G65" s="81">
        <f t="shared" si="0"/>
        <v>30</v>
      </c>
      <c r="H65" s="81">
        <f t="shared" si="1"/>
        <v>137</v>
      </c>
      <c r="I65" s="81">
        <f t="shared" si="2"/>
        <v>59</v>
      </c>
      <c r="J65" s="81">
        <f>VLOOKUP(F65,'KOTRA 기준단가'!$I$1:$J$7,2,0)</f>
        <v>1190</v>
      </c>
      <c r="K65" s="82">
        <f t="shared" si="5"/>
        <v>268940</v>
      </c>
      <c r="L65" s="82">
        <f t="shared" si="6"/>
        <v>163030</v>
      </c>
    </row>
    <row r="66" spans="1:13" ht="20.25" customHeight="1" x14ac:dyDescent="0.15">
      <c r="A66" s="81">
        <v>65</v>
      </c>
      <c r="B66" s="81" t="s">
        <v>275</v>
      </c>
      <c r="C66" s="81" t="s">
        <v>296</v>
      </c>
      <c r="D66" s="201" t="s">
        <v>245</v>
      </c>
      <c r="E66" s="81" t="s">
        <v>297</v>
      </c>
      <c r="F66" s="81" t="s">
        <v>74</v>
      </c>
      <c r="G66" s="81">
        <f t="shared" ref="G66:G129" si="7">VLOOKUP($D66,$O$2:$R$5,2,0)</f>
        <v>30</v>
      </c>
      <c r="H66" s="81">
        <f t="shared" ref="H66:H129" si="8">VLOOKUP($D66,$O$2:$R$5,3,0)</f>
        <v>137</v>
      </c>
      <c r="I66" s="81">
        <f t="shared" ref="I66:I129" si="9">VLOOKUP($D66,$O$2:$R$5,4,0)</f>
        <v>59</v>
      </c>
      <c r="J66" s="81">
        <f>VLOOKUP(F66,'KOTRA 기준단가'!$I$1:$J$7,2,0)</f>
        <v>1190</v>
      </c>
      <c r="K66" s="82">
        <f t="shared" si="5"/>
        <v>268940</v>
      </c>
      <c r="L66" s="82">
        <f t="shared" si="6"/>
        <v>163030</v>
      </c>
    </row>
    <row r="67" spans="1:13" ht="20.25" customHeight="1" x14ac:dyDescent="0.15">
      <c r="A67" s="81">
        <v>66</v>
      </c>
      <c r="B67" s="81" t="s">
        <v>275</v>
      </c>
      <c r="C67" s="81" t="s">
        <v>298</v>
      </c>
      <c r="D67" s="201" t="s">
        <v>245</v>
      </c>
      <c r="E67" s="81" t="s">
        <v>114</v>
      </c>
      <c r="F67" s="81" t="s">
        <v>74</v>
      </c>
      <c r="G67" s="81">
        <f t="shared" si="7"/>
        <v>30</v>
      </c>
      <c r="H67" s="81">
        <f t="shared" si="8"/>
        <v>137</v>
      </c>
      <c r="I67" s="81">
        <f t="shared" si="9"/>
        <v>59</v>
      </c>
      <c r="J67" s="81">
        <f>VLOOKUP(F67,'KOTRA 기준단가'!$I$1:$J$7,2,0)</f>
        <v>1190</v>
      </c>
      <c r="K67" s="82">
        <f t="shared" si="5"/>
        <v>268940</v>
      </c>
      <c r="L67" s="82">
        <f t="shared" si="6"/>
        <v>163030</v>
      </c>
      <c r="M67"/>
    </row>
    <row r="68" spans="1:13" ht="20.25" customHeight="1" x14ac:dyDescent="0.15">
      <c r="A68" s="81">
        <v>67</v>
      </c>
      <c r="B68" s="81" t="s">
        <v>275</v>
      </c>
      <c r="C68" s="81" t="s">
        <v>299</v>
      </c>
      <c r="D68" s="201" t="s">
        <v>245</v>
      </c>
      <c r="E68" s="81" t="s">
        <v>104</v>
      </c>
      <c r="F68" s="81" t="s">
        <v>74</v>
      </c>
      <c r="G68" s="81">
        <f t="shared" si="7"/>
        <v>30</v>
      </c>
      <c r="H68" s="81">
        <f t="shared" si="8"/>
        <v>137</v>
      </c>
      <c r="I68" s="81">
        <f t="shared" si="9"/>
        <v>59</v>
      </c>
      <c r="J68" s="81">
        <f>VLOOKUP(F68,'KOTRA 기준단가'!$I$1:$J$7,2,0)</f>
        <v>1190</v>
      </c>
      <c r="K68" s="82">
        <f t="shared" si="5"/>
        <v>268940</v>
      </c>
      <c r="L68" s="82">
        <f t="shared" si="6"/>
        <v>163030</v>
      </c>
      <c r="M68"/>
    </row>
    <row r="69" spans="1:13" ht="20.25" customHeight="1" x14ac:dyDescent="0.15">
      <c r="A69" s="81">
        <v>68</v>
      </c>
      <c r="B69" s="81" t="s">
        <v>300</v>
      </c>
      <c r="C69" s="81" t="s">
        <v>301</v>
      </c>
      <c r="D69" s="201" t="s">
        <v>245</v>
      </c>
      <c r="E69" s="81" t="s">
        <v>67</v>
      </c>
      <c r="F69" s="81" t="s">
        <v>74</v>
      </c>
      <c r="G69" s="81">
        <f t="shared" si="7"/>
        <v>30</v>
      </c>
      <c r="H69" s="81">
        <f t="shared" si="8"/>
        <v>137</v>
      </c>
      <c r="I69" s="81">
        <f t="shared" si="9"/>
        <v>59</v>
      </c>
      <c r="J69" s="81">
        <f>VLOOKUP(F69,'KOTRA 기준단가'!$I$1:$J$7,2,0)</f>
        <v>1190</v>
      </c>
      <c r="K69" s="82">
        <f t="shared" si="5"/>
        <v>268940</v>
      </c>
      <c r="L69" s="82">
        <f t="shared" si="6"/>
        <v>163030</v>
      </c>
    </row>
    <row r="70" spans="1:13" ht="20.25" customHeight="1" x14ac:dyDescent="0.15">
      <c r="A70" s="81">
        <v>69</v>
      </c>
      <c r="B70" s="81" t="s">
        <v>300</v>
      </c>
      <c r="C70" s="81" t="s">
        <v>301</v>
      </c>
      <c r="D70" s="201" t="s">
        <v>245</v>
      </c>
      <c r="E70" s="81" t="s">
        <v>302</v>
      </c>
      <c r="F70" s="81" t="s">
        <v>74</v>
      </c>
      <c r="G70" s="81">
        <f t="shared" si="7"/>
        <v>30</v>
      </c>
      <c r="H70" s="81">
        <f t="shared" si="8"/>
        <v>137</v>
      </c>
      <c r="I70" s="81">
        <f t="shared" si="9"/>
        <v>59</v>
      </c>
      <c r="J70" s="81">
        <f>VLOOKUP(F70,'KOTRA 기준단가'!$I$1:$J$7,2,0)</f>
        <v>1190</v>
      </c>
      <c r="K70" s="82">
        <f t="shared" si="5"/>
        <v>268940</v>
      </c>
      <c r="L70" s="82">
        <f t="shared" si="6"/>
        <v>163030</v>
      </c>
    </row>
    <row r="71" spans="1:13" ht="20.25" customHeight="1" x14ac:dyDescent="0.15">
      <c r="A71" s="81">
        <v>70</v>
      </c>
      <c r="B71" s="81" t="s">
        <v>300</v>
      </c>
      <c r="C71" s="81" t="s">
        <v>303</v>
      </c>
      <c r="D71" s="201" t="s">
        <v>245</v>
      </c>
      <c r="E71" s="81" t="s">
        <v>73</v>
      </c>
      <c r="F71" s="81" t="s">
        <v>74</v>
      </c>
      <c r="G71" s="81">
        <f t="shared" si="7"/>
        <v>30</v>
      </c>
      <c r="H71" s="81">
        <f t="shared" si="8"/>
        <v>137</v>
      </c>
      <c r="I71" s="81">
        <f t="shared" si="9"/>
        <v>59</v>
      </c>
      <c r="J71" s="81">
        <f>VLOOKUP(F71,'KOTRA 기준단가'!$I$1:$J$7,2,0)</f>
        <v>1190</v>
      </c>
      <c r="K71" s="82">
        <f t="shared" si="5"/>
        <v>268940</v>
      </c>
      <c r="L71" s="82">
        <f t="shared" si="6"/>
        <v>163030</v>
      </c>
      <c r="M71"/>
    </row>
    <row r="72" spans="1:13" ht="20.25" customHeight="1" x14ac:dyDescent="0.15">
      <c r="A72" s="81">
        <v>71</v>
      </c>
      <c r="B72" s="81" t="s">
        <v>300</v>
      </c>
      <c r="C72" s="81" t="s">
        <v>304</v>
      </c>
      <c r="D72" s="201" t="s">
        <v>245</v>
      </c>
      <c r="E72" s="81" t="s">
        <v>305</v>
      </c>
      <c r="F72" s="81" t="s">
        <v>74</v>
      </c>
      <c r="G72" s="81">
        <f t="shared" si="7"/>
        <v>30</v>
      </c>
      <c r="H72" s="81">
        <f t="shared" si="8"/>
        <v>137</v>
      </c>
      <c r="I72" s="81">
        <f t="shared" si="9"/>
        <v>59</v>
      </c>
      <c r="J72" s="81">
        <f>VLOOKUP(F72,'KOTRA 기준단가'!$I$1:$J$7,2,0)</f>
        <v>1190</v>
      </c>
      <c r="K72" s="82">
        <f t="shared" si="5"/>
        <v>268940</v>
      </c>
      <c r="L72" s="82">
        <f t="shared" si="6"/>
        <v>163030</v>
      </c>
      <c r="M72"/>
    </row>
    <row r="73" spans="1:13" ht="20.25" customHeight="1" x14ac:dyDescent="0.15">
      <c r="A73" s="81">
        <v>72</v>
      </c>
      <c r="B73" s="81" t="s">
        <v>300</v>
      </c>
      <c r="C73" s="81" t="s">
        <v>306</v>
      </c>
      <c r="D73" s="201" t="s">
        <v>245</v>
      </c>
      <c r="E73" s="81" t="s">
        <v>155</v>
      </c>
      <c r="F73" s="81" t="s">
        <v>74</v>
      </c>
      <c r="G73" s="81">
        <f t="shared" si="7"/>
        <v>30</v>
      </c>
      <c r="H73" s="81">
        <f t="shared" si="8"/>
        <v>137</v>
      </c>
      <c r="I73" s="81">
        <f t="shared" si="9"/>
        <v>59</v>
      </c>
      <c r="J73" s="81">
        <f>VLOOKUP(F73,'KOTRA 기준단가'!$I$1:$J$7,2,0)</f>
        <v>1190</v>
      </c>
      <c r="K73" s="82">
        <f t="shared" si="5"/>
        <v>268940</v>
      </c>
      <c r="L73" s="82">
        <f t="shared" si="6"/>
        <v>163030</v>
      </c>
      <c r="M73"/>
    </row>
    <row r="74" spans="1:13" ht="20.25" customHeight="1" x14ac:dyDescent="0.15">
      <c r="A74" s="81">
        <v>73</v>
      </c>
      <c r="B74" s="81" t="s">
        <v>300</v>
      </c>
      <c r="C74" s="81" t="s">
        <v>307</v>
      </c>
      <c r="D74" s="201" t="s">
        <v>245</v>
      </c>
      <c r="E74" s="81" t="s">
        <v>68</v>
      </c>
      <c r="F74" s="81" t="s">
        <v>74</v>
      </c>
      <c r="G74" s="81">
        <f t="shared" si="7"/>
        <v>30</v>
      </c>
      <c r="H74" s="81">
        <f t="shared" si="8"/>
        <v>137</v>
      </c>
      <c r="I74" s="81">
        <f t="shared" si="9"/>
        <v>59</v>
      </c>
      <c r="J74" s="81">
        <f>VLOOKUP(F74,'KOTRA 기준단가'!$I$1:$J$7,2,0)</f>
        <v>1190</v>
      </c>
      <c r="K74" s="82">
        <f t="shared" si="5"/>
        <v>268940</v>
      </c>
      <c r="L74" s="82">
        <f t="shared" si="6"/>
        <v>163030</v>
      </c>
      <c r="M74"/>
    </row>
    <row r="75" spans="1:13" ht="20.25" customHeight="1" x14ac:dyDescent="0.15">
      <c r="A75" s="81">
        <v>74</v>
      </c>
      <c r="B75" s="81" t="s">
        <v>300</v>
      </c>
      <c r="C75" s="81" t="s">
        <v>308</v>
      </c>
      <c r="D75" s="201" t="s">
        <v>245</v>
      </c>
      <c r="E75" s="81" t="s">
        <v>153</v>
      </c>
      <c r="F75" s="81" t="s">
        <v>74</v>
      </c>
      <c r="G75" s="81">
        <f t="shared" si="7"/>
        <v>30</v>
      </c>
      <c r="H75" s="81">
        <f t="shared" si="8"/>
        <v>137</v>
      </c>
      <c r="I75" s="81">
        <f t="shared" si="9"/>
        <v>59</v>
      </c>
      <c r="J75" s="81">
        <f>VLOOKUP(F75,'KOTRA 기준단가'!$I$1:$J$7,2,0)</f>
        <v>1190</v>
      </c>
      <c r="K75" s="82">
        <f t="shared" si="5"/>
        <v>268940</v>
      </c>
      <c r="L75" s="82">
        <f t="shared" si="6"/>
        <v>163030</v>
      </c>
      <c r="M75"/>
    </row>
    <row r="76" spans="1:13" ht="20.25" customHeight="1" x14ac:dyDescent="0.15">
      <c r="A76" s="81">
        <v>75</v>
      </c>
      <c r="B76" s="81" t="s">
        <v>309</v>
      </c>
      <c r="C76" s="81" t="s">
        <v>310</v>
      </c>
      <c r="D76" s="201" t="s">
        <v>245</v>
      </c>
      <c r="E76" s="81" t="s">
        <v>311</v>
      </c>
      <c r="F76" s="81" t="s">
        <v>74</v>
      </c>
      <c r="G76" s="81">
        <f t="shared" si="7"/>
        <v>30</v>
      </c>
      <c r="H76" s="81">
        <f t="shared" si="8"/>
        <v>137</v>
      </c>
      <c r="I76" s="81">
        <f t="shared" si="9"/>
        <v>59</v>
      </c>
      <c r="J76" s="81">
        <f>VLOOKUP(F76,'KOTRA 기준단가'!$I$1:$J$7,2,0)</f>
        <v>1190</v>
      </c>
      <c r="K76" s="82">
        <f t="shared" si="5"/>
        <v>268940</v>
      </c>
      <c r="L76" s="82">
        <f t="shared" si="6"/>
        <v>163030</v>
      </c>
      <c r="M76"/>
    </row>
    <row r="77" spans="1:13" ht="20.25" customHeight="1" x14ac:dyDescent="0.15">
      <c r="A77" s="81">
        <v>76</v>
      </c>
      <c r="B77" s="81" t="s">
        <v>251</v>
      </c>
      <c r="C77" s="81" t="s">
        <v>312</v>
      </c>
      <c r="D77" s="202" t="s">
        <v>246</v>
      </c>
      <c r="E77" s="81" t="s">
        <v>60</v>
      </c>
      <c r="F77" s="81" t="s">
        <v>74</v>
      </c>
      <c r="G77" s="81">
        <f t="shared" si="7"/>
        <v>30</v>
      </c>
      <c r="H77" s="81">
        <f t="shared" si="8"/>
        <v>106</v>
      </c>
      <c r="I77" s="81">
        <f t="shared" si="9"/>
        <v>44</v>
      </c>
      <c r="J77" s="81">
        <f>VLOOKUP(F77,'KOTRA 기준단가'!$I$1:$J$7,2,0)</f>
        <v>1190</v>
      </c>
      <c r="K77" s="82">
        <f t="shared" ref="K77:K130" si="10">(G77+H77+I77)*J77</f>
        <v>214200</v>
      </c>
      <c r="L77" s="82">
        <f t="shared" ref="L77:L130" si="11">J77*H77</f>
        <v>126140</v>
      </c>
      <c r="M77"/>
    </row>
    <row r="78" spans="1:13" ht="20.25" customHeight="1" x14ac:dyDescent="0.15">
      <c r="A78" s="81">
        <v>77</v>
      </c>
      <c r="B78" s="81" t="s">
        <v>251</v>
      </c>
      <c r="C78" s="81" t="s">
        <v>313</v>
      </c>
      <c r="D78" s="202" t="s">
        <v>246</v>
      </c>
      <c r="E78" s="81" t="s">
        <v>86</v>
      </c>
      <c r="F78" s="81" t="s">
        <v>74</v>
      </c>
      <c r="G78" s="81">
        <f t="shared" si="7"/>
        <v>30</v>
      </c>
      <c r="H78" s="81">
        <f t="shared" si="8"/>
        <v>106</v>
      </c>
      <c r="I78" s="81">
        <f t="shared" si="9"/>
        <v>44</v>
      </c>
      <c r="J78" s="81">
        <f>VLOOKUP(F78,'KOTRA 기준단가'!$I$1:$J$7,2,0)</f>
        <v>1190</v>
      </c>
      <c r="K78" s="82">
        <f t="shared" si="10"/>
        <v>214200</v>
      </c>
      <c r="L78" s="82">
        <f t="shared" si="11"/>
        <v>126140</v>
      </c>
      <c r="M78"/>
    </row>
    <row r="79" spans="1:13" ht="20.25" customHeight="1" x14ac:dyDescent="0.15">
      <c r="A79" s="81">
        <v>78</v>
      </c>
      <c r="B79" s="81" t="s">
        <v>251</v>
      </c>
      <c r="C79" s="81" t="s">
        <v>314</v>
      </c>
      <c r="D79" s="202" t="s">
        <v>246</v>
      </c>
      <c r="E79" s="81" t="s">
        <v>170</v>
      </c>
      <c r="F79" s="81" t="s">
        <v>74</v>
      </c>
      <c r="G79" s="81">
        <f t="shared" si="7"/>
        <v>30</v>
      </c>
      <c r="H79" s="81">
        <f t="shared" si="8"/>
        <v>106</v>
      </c>
      <c r="I79" s="81">
        <f t="shared" si="9"/>
        <v>44</v>
      </c>
      <c r="J79" s="81">
        <f>VLOOKUP(F79,'KOTRA 기준단가'!$I$1:$J$7,2,0)</f>
        <v>1190</v>
      </c>
      <c r="K79" s="82">
        <f t="shared" si="10"/>
        <v>214200</v>
      </c>
      <c r="L79" s="82">
        <f t="shared" si="11"/>
        <v>126140</v>
      </c>
      <c r="M79"/>
    </row>
    <row r="80" spans="1:13" ht="20.25" customHeight="1" x14ac:dyDescent="0.15">
      <c r="A80" s="81">
        <v>79</v>
      </c>
      <c r="B80" s="81" t="s">
        <v>251</v>
      </c>
      <c r="C80" s="81" t="s">
        <v>315</v>
      </c>
      <c r="D80" s="202" t="s">
        <v>246</v>
      </c>
      <c r="E80" s="81" t="s">
        <v>316</v>
      </c>
      <c r="F80" s="81" t="s">
        <v>74</v>
      </c>
      <c r="G80" s="81">
        <f t="shared" si="7"/>
        <v>30</v>
      </c>
      <c r="H80" s="81">
        <f t="shared" si="8"/>
        <v>106</v>
      </c>
      <c r="I80" s="81">
        <f t="shared" si="9"/>
        <v>44</v>
      </c>
      <c r="J80" s="81">
        <f>VLOOKUP(F80,'KOTRA 기준단가'!$I$1:$J$7,2,0)</f>
        <v>1190</v>
      </c>
      <c r="K80" s="82">
        <f t="shared" si="10"/>
        <v>214200</v>
      </c>
      <c r="L80" s="82">
        <f t="shared" si="11"/>
        <v>126140</v>
      </c>
      <c r="M80"/>
    </row>
    <row r="81" spans="1:13" ht="20.25" customHeight="1" x14ac:dyDescent="0.15">
      <c r="A81" s="81">
        <v>80</v>
      </c>
      <c r="B81" s="81" t="s">
        <v>251</v>
      </c>
      <c r="C81" s="81" t="s">
        <v>317</v>
      </c>
      <c r="D81" s="202" t="s">
        <v>246</v>
      </c>
      <c r="E81" s="81" t="s">
        <v>39</v>
      </c>
      <c r="F81" s="81" t="s">
        <v>74</v>
      </c>
      <c r="G81" s="81">
        <f t="shared" si="7"/>
        <v>30</v>
      </c>
      <c r="H81" s="81">
        <f t="shared" si="8"/>
        <v>106</v>
      </c>
      <c r="I81" s="81">
        <f t="shared" si="9"/>
        <v>44</v>
      </c>
      <c r="J81" s="81">
        <f>VLOOKUP(F81,'KOTRA 기준단가'!$I$1:$J$7,2,0)</f>
        <v>1190</v>
      </c>
      <c r="K81" s="82">
        <f t="shared" si="10"/>
        <v>214200</v>
      </c>
      <c r="L81" s="82">
        <f t="shared" si="11"/>
        <v>126140</v>
      </c>
      <c r="M81"/>
    </row>
    <row r="82" spans="1:13" ht="20.25" customHeight="1" x14ac:dyDescent="0.15">
      <c r="A82" s="81">
        <v>81</v>
      </c>
      <c r="B82" s="81" t="s">
        <v>251</v>
      </c>
      <c r="C82" s="81" t="s">
        <v>317</v>
      </c>
      <c r="D82" s="202" t="s">
        <v>246</v>
      </c>
      <c r="E82" s="81" t="s">
        <v>85</v>
      </c>
      <c r="F82" s="81" t="s">
        <v>74</v>
      </c>
      <c r="G82" s="81">
        <f t="shared" si="7"/>
        <v>30</v>
      </c>
      <c r="H82" s="81">
        <f t="shared" si="8"/>
        <v>106</v>
      </c>
      <c r="I82" s="81">
        <f t="shared" si="9"/>
        <v>44</v>
      </c>
      <c r="J82" s="81">
        <f>VLOOKUP(F82,'KOTRA 기준단가'!$I$1:$J$7,2,0)</f>
        <v>1190</v>
      </c>
      <c r="K82" s="82">
        <f t="shared" si="10"/>
        <v>214200</v>
      </c>
      <c r="L82" s="82">
        <f t="shared" si="11"/>
        <v>126140</v>
      </c>
      <c r="M82"/>
    </row>
    <row r="83" spans="1:13" ht="20.25" customHeight="1" x14ac:dyDescent="0.15">
      <c r="A83" s="81">
        <v>82</v>
      </c>
      <c r="B83" s="81" t="s">
        <v>251</v>
      </c>
      <c r="C83" s="81" t="s">
        <v>317</v>
      </c>
      <c r="D83" s="202" t="s">
        <v>246</v>
      </c>
      <c r="E83" s="81" t="s">
        <v>318</v>
      </c>
      <c r="F83" s="81" t="s">
        <v>74</v>
      </c>
      <c r="G83" s="81">
        <f t="shared" si="7"/>
        <v>30</v>
      </c>
      <c r="H83" s="81">
        <f t="shared" si="8"/>
        <v>106</v>
      </c>
      <c r="I83" s="81">
        <f t="shared" si="9"/>
        <v>44</v>
      </c>
      <c r="J83" s="81">
        <f>VLOOKUP(F83,'KOTRA 기준단가'!$I$1:$J$7,2,0)</f>
        <v>1190</v>
      </c>
      <c r="K83" s="82">
        <f t="shared" si="10"/>
        <v>214200</v>
      </c>
      <c r="L83" s="82">
        <f t="shared" si="11"/>
        <v>126140</v>
      </c>
      <c r="M83"/>
    </row>
    <row r="84" spans="1:13" ht="20.25" customHeight="1" x14ac:dyDescent="0.15">
      <c r="A84" s="81">
        <v>83</v>
      </c>
      <c r="B84" s="81" t="s">
        <v>251</v>
      </c>
      <c r="C84" s="81" t="s">
        <v>317</v>
      </c>
      <c r="D84" s="202" t="s">
        <v>246</v>
      </c>
      <c r="E84" s="81" t="s">
        <v>319</v>
      </c>
      <c r="F84" s="81" t="s">
        <v>74</v>
      </c>
      <c r="G84" s="81">
        <f t="shared" si="7"/>
        <v>30</v>
      </c>
      <c r="H84" s="81">
        <f t="shared" si="8"/>
        <v>106</v>
      </c>
      <c r="I84" s="81">
        <f t="shared" si="9"/>
        <v>44</v>
      </c>
      <c r="J84" s="81">
        <f>VLOOKUP(F84,'KOTRA 기준단가'!$I$1:$J$7,2,0)</f>
        <v>1190</v>
      </c>
      <c r="K84" s="82">
        <f t="shared" si="10"/>
        <v>214200</v>
      </c>
      <c r="L84" s="82">
        <f t="shared" si="11"/>
        <v>126140</v>
      </c>
      <c r="M84"/>
    </row>
    <row r="85" spans="1:13" ht="20.25" customHeight="1" x14ac:dyDescent="0.15">
      <c r="A85" s="81">
        <v>84</v>
      </c>
      <c r="B85" s="81" t="s">
        <v>251</v>
      </c>
      <c r="C85" s="81" t="s">
        <v>317</v>
      </c>
      <c r="D85" s="202" t="s">
        <v>246</v>
      </c>
      <c r="E85" s="81" t="s">
        <v>320</v>
      </c>
      <c r="F85" s="81" t="s">
        <v>74</v>
      </c>
      <c r="G85" s="81">
        <f t="shared" si="7"/>
        <v>30</v>
      </c>
      <c r="H85" s="81">
        <f t="shared" si="8"/>
        <v>106</v>
      </c>
      <c r="I85" s="81">
        <f t="shared" si="9"/>
        <v>44</v>
      </c>
      <c r="J85" s="81">
        <f>VLOOKUP(F85,'KOTRA 기준단가'!$I$1:$J$7,2,0)</f>
        <v>1190</v>
      </c>
      <c r="K85" s="82">
        <f t="shared" si="10"/>
        <v>214200</v>
      </c>
      <c r="L85" s="82">
        <f t="shared" si="11"/>
        <v>126140</v>
      </c>
      <c r="M85"/>
    </row>
    <row r="86" spans="1:13" ht="20.25" customHeight="1" x14ac:dyDescent="0.15">
      <c r="A86" s="81">
        <v>85</v>
      </c>
      <c r="B86" s="81" t="s">
        <v>251</v>
      </c>
      <c r="C86" s="81" t="s">
        <v>317</v>
      </c>
      <c r="D86" s="202" t="s">
        <v>246</v>
      </c>
      <c r="E86" s="81" t="s">
        <v>321</v>
      </c>
      <c r="F86" s="81" t="s">
        <v>74</v>
      </c>
      <c r="G86" s="81">
        <f t="shared" si="7"/>
        <v>30</v>
      </c>
      <c r="H86" s="81">
        <f t="shared" si="8"/>
        <v>106</v>
      </c>
      <c r="I86" s="81">
        <f t="shared" si="9"/>
        <v>44</v>
      </c>
      <c r="J86" s="81">
        <f>VLOOKUP(F86,'KOTRA 기준단가'!$I$1:$J$7,2,0)</f>
        <v>1190</v>
      </c>
      <c r="K86" s="82">
        <f t="shared" si="10"/>
        <v>214200</v>
      </c>
      <c r="L86" s="82">
        <f t="shared" si="11"/>
        <v>126140</v>
      </c>
      <c r="M86"/>
    </row>
    <row r="87" spans="1:13" ht="20.25" customHeight="1" x14ac:dyDescent="0.15">
      <c r="A87" s="81">
        <v>86</v>
      </c>
      <c r="B87" s="81" t="s">
        <v>251</v>
      </c>
      <c r="C87" s="81" t="s">
        <v>317</v>
      </c>
      <c r="D87" s="202" t="s">
        <v>246</v>
      </c>
      <c r="E87" s="81" t="s">
        <v>130</v>
      </c>
      <c r="F87" s="81" t="s">
        <v>74</v>
      </c>
      <c r="G87" s="81">
        <f t="shared" si="7"/>
        <v>30</v>
      </c>
      <c r="H87" s="81">
        <f t="shared" si="8"/>
        <v>106</v>
      </c>
      <c r="I87" s="81">
        <f t="shared" si="9"/>
        <v>44</v>
      </c>
      <c r="J87" s="81">
        <f>VLOOKUP(F87,'KOTRA 기준단가'!$I$1:$J$7,2,0)</f>
        <v>1190</v>
      </c>
      <c r="K87" s="82">
        <f t="shared" si="10"/>
        <v>214200</v>
      </c>
      <c r="L87" s="82">
        <f t="shared" si="11"/>
        <v>126140</v>
      </c>
      <c r="M87"/>
    </row>
    <row r="88" spans="1:13" ht="20.25" customHeight="1" x14ac:dyDescent="0.15">
      <c r="A88" s="81">
        <v>87</v>
      </c>
      <c r="B88" s="81" t="s">
        <v>251</v>
      </c>
      <c r="C88" s="81" t="s">
        <v>317</v>
      </c>
      <c r="D88" s="202" t="s">
        <v>246</v>
      </c>
      <c r="E88" s="81" t="s">
        <v>131</v>
      </c>
      <c r="F88" s="81" t="s">
        <v>74</v>
      </c>
      <c r="G88" s="81">
        <f t="shared" si="7"/>
        <v>30</v>
      </c>
      <c r="H88" s="81">
        <f t="shared" si="8"/>
        <v>106</v>
      </c>
      <c r="I88" s="81">
        <f t="shared" si="9"/>
        <v>44</v>
      </c>
      <c r="J88" s="81">
        <f>VLOOKUP(F88,'KOTRA 기준단가'!$I$1:$J$7,2,0)</f>
        <v>1190</v>
      </c>
      <c r="K88" s="82">
        <f t="shared" si="10"/>
        <v>214200</v>
      </c>
      <c r="L88" s="82">
        <f t="shared" si="11"/>
        <v>126140</v>
      </c>
      <c r="M88"/>
    </row>
    <row r="89" spans="1:13" ht="20.25" customHeight="1" x14ac:dyDescent="0.15">
      <c r="A89" s="81">
        <v>88</v>
      </c>
      <c r="B89" s="81" t="s">
        <v>251</v>
      </c>
      <c r="C89" s="81" t="s">
        <v>317</v>
      </c>
      <c r="D89" s="202" t="s">
        <v>246</v>
      </c>
      <c r="E89" s="81" t="s">
        <v>132</v>
      </c>
      <c r="F89" s="81" t="s">
        <v>74</v>
      </c>
      <c r="G89" s="81">
        <f t="shared" si="7"/>
        <v>30</v>
      </c>
      <c r="H89" s="81">
        <f t="shared" si="8"/>
        <v>106</v>
      </c>
      <c r="I89" s="81">
        <f t="shared" si="9"/>
        <v>44</v>
      </c>
      <c r="J89" s="81">
        <f>VLOOKUP(F89,'KOTRA 기준단가'!$I$1:$J$7,2,0)</f>
        <v>1190</v>
      </c>
      <c r="K89" s="82">
        <f t="shared" si="10"/>
        <v>214200</v>
      </c>
      <c r="L89" s="82">
        <f t="shared" si="11"/>
        <v>126140</v>
      </c>
      <c r="M89"/>
    </row>
    <row r="90" spans="1:13" ht="20.25" customHeight="1" x14ac:dyDescent="0.15">
      <c r="A90" s="81">
        <v>89</v>
      </c>
      <c r="B90" s="81" t="s">
        <v>251</v>
      </c>
      <c r="C90" s="81" t="s">
        <v>317</v>
      </c>
      <c r="D90" s="202" t="s">
        <v>246</v>
      </c>
      <c r="E90" s="81" t="s">
        <v>134</v>
      </c>
      <c r="F90" s="81" t="s">
        <v>74</v>
      </c>
      <c r="G90" s="81">
        <f t="shared" si="7"/>
        <v>30</v>
      </c>
      <c r="H90" s="81">
        <f t="shared" si="8"/>
        <v>106</v>
      </c>
      <c r="I90" s="81">
        <f t="shared" si="9"/>
        <v>44</v>
      </c>
      <c r="J90" s="81">
        <f>VLOOKUP(F90,'KOTRA 기준단가'!$I$1:$J$7,2,0)</f>
        <v>1190</v>
      </c>
      <c r="K90" s="82">
        <f t="shared" si="10"/>
        <v>214200</v>
      </c>
      <c r="L90" s="82">
        <f t="shared" si="11"/>
        <v>126140</v>
      </c>
      <c r="M90"/>
    </row>
    <row r="91" spans="1:13" ht="20.25" customHeight="1" x14ac:dyDescent="0.15">
      <c r="A91" s="81">
        <v>90</v>
      </c>
      <c r="B91" s="81" t="s">
        <v>251</v>
      </c>
      <c r="C91" s="81" t="s">
        <v>317</v>
      </c>
      <c r="D91" s="202" t="s">
        <v>246</v>
      </c>
      <c r="E91" s="81" t="s">
        <v>136</v>
      </c>
      <c r="F91" s="81" t="s">
        <v>74</v>
      </c>
      <c r="G91" s="81">
        <f t="shared" si="7"/>
        <v>30</v>
      </c>
      <c r="H91" s="81">
        <f t="shared" si="8"/>
        <v>106</v>
      </c>
      <c r="I91" s="81">
        <f t="shared" si="9"/>
        <v>44</v>
      </c>
      <c r="J91" s="81">
        <f>VLOOKUP(F91,'KOTRA 기준단가'!$I$1:$J$7,2,0)</f>
        <v>1190</v>
      </c>
      <c r="K91" s="82">
        <f t="shared" si="10"/>
        <v>214200</v>
      </c>
      <c r="L91" s="82">
        <f t="shared" si="11"/>
        <v>126140</v>
      </c>
      <c r="M91"/>
    </row>
    <row r="92" spans="1:13" ht="20.25" customHeight="1" x14ac:dyDescent="0.15">
      <c r="A92" s="81">
        <v>91</v>
      </c>
      <c r="B92" s="81" t="s">
        <v>251</v>
      </c>
      <c r="C92" s="81" t="s">
        <v>317</v>
      </c>
      <c r="D92" s="202" t="s">
        <v>246</v>
      </c>
      <c r="E92" s="81" t="s">
        <v>138</v>
      </c>
      <c r="F92" s="81" t="s">
        <v>74</v>
      </c>
      <c r="G92" s="81">
        <f t="shared" si="7"/>
        <v>30</v>
      </c>
      <c r="H92" s="81">
        <f t="shared" si="8"/>
        <v>106</v>
      </c>
      <c r="I92" s="81">
        <f t="shared" si="9"/>
        <v>44</v>
      </c>
      <c r="J92" s="81">
        <f>VLOOKUP(F92,'KOTRA 기준단가'!$I$1:$J$7,2,0)</f>
        <v>1190</v>
      </c>
      <c r="K92" s="82">
        <f t="shared" si="10"/>
        <v>214200</v>
      </c>
      <c r="L92" s="82">
        <f t="shared" si="11"/>
        <v>126140</v>
      </c>
      <c r="M92"/>
    </row>
    <row r="93" spans="1:13" ht="20.25" customHeight="1" x14ac:dyDescent="0.15">
      <c r="A93" s="81">
        <v>92</v>
      </c>
      <c r="B93" s="81" t="s">
        <v>251</v>
      </c>
      <c r="C93" s="81" t="s">
        <v>317</v>
      </c>
      <c r="D93" s="202" t="s">
        <v>246</v>
      </c>
      <c r="E93" s="81" t="s">
        <v>139</v>
      </c>
      <c r="F93" s="81" t="s">
        <v>74</v>
      </c>
      <c r="G93" s="81">
        <f t="shared" si="7"/>
        <v>30</v>
      </c>
      <c r="H93" s="81">
        <f t="shared" si="8"/>
        <v>106</v>
      </c>
      <c r="I93" s="81">
        <f t="shared" si="9"/>
        <v>44</v>
      </c>
      <c r="J93" s="81">
        <f>VLOOKUP(F93,'KOTRA 기준단가'!$I$1:$J$7,2,0)</f>
        <v>1190</v>
      </c>
      <c r="K93" s="82">
        <f t="shared" si="10"/>
        <v>214200</v>
      </c>
      <c r="L93" s="82">
        <f t="shared" si="11"/>
        <v>126140</v>
      </c>
      <c r="M93"/>
    </row>
    <row r="94" spans="1:13" ht="20.25" customHeight="1" x14ac:dyDescent="0.15">
      <c r="A94" s="81">
        <v>93</v>
      </c>
      <c r="B94" s="81" t="s">
        <v>251</v>
      </c>
      <c r="C94" s="81" t="s">
        <v>317</v>
      </c>
      <c r="D94" s="202" t="s">
        <v>246</v>
      </c>
      <c r="E94" s="81" t="s">
        <v>140</v>
      </c>
      <c r="F94" s="81" t="s">
        <v>74</v>
      </c>
      <c r="G94" s="81">
        <f t="shared" si="7"/>
        <v>30</v>
      </c>
      <c r="H94" s="81">
        <f t="shared" si="8"/>
        <v>106</v>
      </c>
      <c r="I94" s="81">
        <f t="shared" si="9"/>
        <v>44</v>
      </c>
      <c r="J94" s="81">
        <f>VLOOKUP(F94,'KOTRA 기준단가'!$I$1:$J$7,2,0)</f>
        <v>1190</v>
      </c>
      <c r="K94" s="82">
        <f t="shared" si="10"/>
        <v>214200</v>
      </c>
      <c r="L94" s="82">
        <f t="shared" si="11"/>
        <v>126140</v>
      </c>
      <c r="M94"/>
    </row>
    <row r="95" spans="1:13" ht="20.25" customHeight="1" x14ac:dyDescent="0.15">
      <c r="A95" s="81">
        <v>94</v>
      </c>
      <c r="B95" s="81" t="s">
        <v>251</v>
      </c>
      <c r="C95" s="81" t="s">
        <v>317</v>
      </c>
      <c r="D95" s="202" t="s">
        <v>246</v>
      </c>
      <c r="E95" s="81" t="s">
        <v>141</v>
      </c>
      <c r="F95" s="81" t="s">
        <v>74</v>
      </c>
      <c r="G95" s="81">
        <f t="shared" si="7"/>
        <v>30</v>
      </c>
      <c r="H95" s="81">
        <f t="shared" si="8"/>
        <v>106</v>
      </c>
      <c r="I95" s="81">
        <f t="shared" si="9"/>
        <v>44</v>
      </c>
      <c r="J95" s="81">
        <f>VLOOKUP(F95,'KOTRA 기준단가'!$I$1:$J$7,2,0)</f>
        <v>1190</v>
      </c>
      <c r="K95" s="82">
        <f t="shared" si="10"/>
        <v>214200</v>
      </c>
      <c r="L95" s="82">
        <f t="shared" si="11"/>
        <v>126140</v>
      </c>
      <c r="M95"/>
    </row>
    <row r="96" spans="1:13" ht="20.25" customHeight="1" x14ac:dyDescent="0.15">
      <c r="A96" s="81">
        <v>95</v>
      </c>
      <c r="B96" s="81" t="s">
        <v>251</v>
      </c>
      <c r="C96" s="81" t="s">
        <v>317</v>
      </c>
      <c r="D96" s="202" t="s">
        <v>246</v>
      </c>
      <c r="E96" s="81" t="s">
        <v>142</v>
      </c>
      <c r="F96" s="81" t="s">
        <v>74</v>
      </c>
      <c r="G96" s="81">
        <f t="shared" si="7"/>
        <v>30</v>
      </c>
      <c r="H96" s="81">
        <f t="shared" si="8"/>
        <v>106</v>
      </c>
      <c r="I96" s="81">
        <f t="shared" si="9"/>
        <v>44</v>
      </c>
      <c r="J96" s="81">
        <f>VLOOKUP(F96,'KOTRA 기준단가'!$I$1:$J$7,2,0)</f>
        <v>1190</v>
      </c>
      <c r="K96" s="82">
        <f t="shared" si="10"/>
        <v>214200</v>
      </c>
      <c r="L96" s="82">
        <f t="shared" si="11"/>
        <v>126140</v>
      </c>
      <c r="M96"/>
    </row>
    <row r="97" spans="1:13" ht="20.25" customHeight="1" x14ac:dyDescent="0.15">
      <c r="A97" s="81">
        <v>96</v>
      </c>
      <c r="B97" s="81" t="s">
        <v>251</v>
      </c>
      <c r="C97" s="81" t="s">
        <v>317</v>
      </c>
      <c r="D97" s="202" t="s">
        <v>246</v>
      </c>
      <c r="E97" s="81" t="s">
        <v>322</v>
      </c>
      <c r="F97" s="81" t="s">
        <v>74</v>
      </c>
      <c r="G97" s="81">
        <f t="shared" si="7"/>
        <v>30</v>
      </c>
      <c r="H97" s="81">
        <f t="shared" si="8"/>
        <v>106</v>
      </c>
      <c r="I97" s="81">
        <f t="shared" si="9"/>
        <v>44</v>
      </c>
      <c r="J97" s="81">
        <f>VLOOKUP(F97,'KOTRA 기준단가'!$I$1:$J$7,2,0)</f>
        <v>1190</v>
      </c>
      <c r="K97" s="82">
        <f t="shared" si="10"/>
        <v>214200</v>
      </c>
      <c r="L97" s="82">
        <f t="shared" si="11"/>
        <v>126140</v>
      </c>
      <c r="M97"/>
    </row>
    <row r="98" spans="1:13" ht="20.25" customHeight="1" x14ac:dyDescent="0.15">
      <c r="A98" s="81">
        <v>97</v>
      </c>
      <c r="B98" s="81" t="s">
        <v>251</v>
      </c>
      <c r="C98" s="81" t="s">
        <v>317</v>
      </c>
      <c r="D98" s="202" t="s">
        <v>246</v>
      </c>
      <c r="E98" s="81" t="s">
        <v>135</v>
      </c>
      <c r="F98" s="81" t="s">
        <v>74</v>
      </c>
      <c r="G98" s="81">
        <f t="shared" si="7"/>
        <v>30</v>
      </c>
      <c r="H98" s="81">
        <f t="shared" si="8"/>
        <v>106</v>
      </c>
      <c r="I98" s="81">
        <f t="shared" si="9"/>
        <v>44</v>
      </c>
      <c r="J98" s="81">
        <f>VLOOKUP(F98,'KOTRA 기준단가'!$I$1:$J$7,2,0)</f>
        <v>1190</v>
      </c>
      <c r="K98" s="82">
        <f t="shared" si="10"/>
        <v>214200</v>
      </c>
      <c r="L98" s="82">
        <f t="shared" si="11"/>
        <v>126140</v>
      </c>
      <c r="M98"/>
    </row>
    <row r="99" spans="1:13" ht="20.25" customHeight="1" x14ac:dyDescent="0.15">
      <c r="A99" s="81">
        <v>98</v>
      </c>
      <c r="B99" s="81" t="s">
        <v>251</v>
      </c>
      <c r="C99" s="81" t="s">
        <v>317</v>
      </c>
      <c r="D99" s="202" t="s">
        <v>246</v>
      </c>
      <c r="E99" s="81" t="s">
        <v>137</v>
      </c>
      <c r="F99" s="81" t="s">
        <v>74</v>
      </c>
      <c r="G99" s="81">
        <f t="shared" si="7"/>
        <v>30</v>
      </c>
      <c r="H99" s="81">
        <f t="shared" si="8"/>
        <v>106</v>
      </c>
      <c r="I99" s="81">
        <f t="shared" si="9"/>
        <v>44</v>
      </c>
      <c r="J99" s="81">
        <f>VLOOKUP(F99,'KOTRA 기준단가'!$I$1:$J$7,2,0)</f>
        <v>1190</v>
      </c>
      <c r="K99" s="82">
        <f t="shared" si="10"/>
        <v>214200</v>
      </c>
      <c r="L99" s="82">
        <f t="shared" si="11"/>
        <v>126140</v>
      </c>
      <c r="M99"/>
    </row>
    <row r="100" spans="1:13" ht="20.25" customHeight="1" x14ac:dyDescent="0.15">
      <c r="A100" s="81">
        <v>99</v>
      </c>
      <c r="B100" s="81" t="s">
        <v>251</v>
      </c>
      <c r="C100" s="81" t="s">
        <v>323</v>
      </c>
      <c r="D100" s="202" t="s">
        <v>246</v>
      </c>
      <c r="E100" s="81" t="s">
        <v>61</v>
      </c>
      <c r="F100" s="81" t="s">
        <v>74</v>
      </c>
      <c r="G100" s="81">
        <f t="shared" si="7"/>
        <v>30</v>
      </c>
      <c r="H100" s="81">
        <f t="shared" si="8"/>
        <v>106</v>
      </c>
      <c r="I100" s="81">
        <f t="shared" si="9"/>
        <v>44</v>
      </c>
      <c r="J100" s="81">
        <f>VLOOKUP(F100,'KOTRA 기준단가'!$I$1:$J$7,2,0)</f>
        <v>1190</v>
      </c>
      <c r="K100" s="82">
        <f t="shared" si="10"/>
        <v>214200</v>
      </c>
      <c r="L100" s="82">
        <f t="shared" si="11"/>
        <v>126140</v>
      </c>
      <c r="M100"/>
    </row>
    <row r="101" spans="1:13" ht="20.25" customHeight="1" x14ac:dyDescent="0.15">
      <c r="A101" s="81">
        <v>100</v>
      </c>
      <c r="B101" s="81" t="s">
        <v>251</v>
      </c>
      <c r="C101" s="81" t="s">
        <v>324</v>
      </c>
      <c r="D101" s="202" t="s">
        <v>246</v>
      </c>
      <c r="E101" s="81" t="s">
        <v>325</v>
      </c>
      <c r="F101" s="81" t="s">
        <v>74</v>
      </c>
      <c r="G101" s="81">
        <f t="shared" si="7"/>
        <v>30</v>
      </c>
      <c r="H101" s="81">
        <f t="shared" si="8"/>
        <v>106</v>
      </c>
      <c r="I101" s="81">
        <f t="shared" si="9"/>
        <v>44</v>
      </c>
      <c r="J101" s="81">
        <f>VLOOKUP(F101,'KOTRA 기준단가'!$I$1:$J$7,2,0)</f>
        <v>1190</v>
      </c>
      <c r="K101" s="82">
        <f t="shared" si="10"/>
        <v>214200</v>
      </c>
      <c r="L101" s="82">
        <f t="shared" si="11"/>
        <v>126140</v>
      </c>
      <c r="M101"/>
    </row>
    <row r="102" spans="1:13" ht="20.25" customHeight="1" x14ac:dyDescent="0.15">
      <c r="A102" s="81">
        <v>101</v>
      </c>
      <c r="B102" s="81" t="s">
        <v>251</v>
      </c>
      <c r="C102" s="81" t="s">
        <v>326</v>
      </c>
      <c r="D102" s="202" t="s">
        <v>246</v>
      </c>
      <c r="E102" s="81" t="s">
        <v>53</v>
      </c>
      <c r="F102" s="81" t="s">
        <v>74</v>
      </c>
      <c r="G102" s="81">
        <f t="shared" si="7"/>
        <v>30</v>
      </c>
      <c r="H102" s="81">
        <f t="shared" si="8"/>
        <v>106</v>
      </c>
      <c r="I102" s="81">
        <f t="shared" si="9"/>
        <v>44</v>
      </c>
      <c r="J102" s="81">
        <f>VLOOKUP(F102,'KOTRA 기준단가'!$I$1:$J$7,2,0)</f>
        <v>1190</v>
      </c>
      <c r="K102" s="82">
        <f t="shared" si="10"/>
        <v>214200</v>
      </c>
      <c r="L102" s="82">
        <f t="shared" si="11"/>
        <v>126140</v>
      </c>
      <c r="M102"/>
    </row>
    <row r="103" spans="1:13" ht="20.25" customHeight="1" x14ac:dyDescent="0.15">
      <c r="A103" s="81">
        <v>102</v>
      </c>
      <c r="B103" s="81" t="s">
        <v>327</v>
      </c>
      <c r="C103" s="81" t="s">
        <v>328</v>
      </c>
      <c r="D103" s="202" t="s">
        <v>246</v>
      </c>
      <c r="E103" s="81" t="s">
        <v>329</v>
      </c>
      <c r="F103" s="81" t="s">
        <v>74</v>
      </c>
      <c r="G103" s="81">
        <f t="shared" si="7"/>
        <v>30</v>
      </c>
      <c r="H103" s="81">
        <f t="shared" si="8"/>
        <v>106</v>
      </c>
      <c r="I103" s="81">
        <f t="shared" si="9"/>
        <v>44</v>
      </c>
      <c r="J103" s="81">
        <f>VLOOKUP(F103,'KOTRA 기준단가'!$I$1:$J$7,2,0)</f>
        <v>1190</v>
      </c>
      <c r="K103" s="82">
        <f t="shared" si="10"/>
        <v>214200</v>
      </c>
      <c r="L103" s="82">
        <f t="shared" si="11"/>
        <v>126140</v>
      </c>
      <c r="M103"/>
    </row>
    <row r="104" spans="1:13" ht="20.25" customHeight="1" x14ac:dyDescent="0.15">
      <c r="A104" s="81">
        <v>103</v>
      </c>
      <c r="B104" s="81" t="s">
        <v>327</v>
      </c>
      <c r="C104" s="81" t="s">
        <v>328</v>
      </c>
      <c r="D104" s="202" t="s">
        <v>246</v>
      </c>
      <c r="E104" s="81" t="s">
        <v>330</v>
      </c>
      <c r="F104" s="81" t="s">
        <v>74</v>
      </c>
      <c r="G104" s="81">
        <f t="shared" si="7"/>
        <v>30</v>
      </c>
      <c r="H104" s="81">
        <f t="shared" si="8"/>
        <v>106</v>
      </c>
      <c r="I104" s="81">
        <f t="shared" si="9"/>
        <v>44</v>
      </c>
      <c r="J104" s="81">
        <f>VLOOKUP(F104,'KOTRA 기준단가'!$I$1:$J$7,2,0)</f>
        <v>1190</v>
      </c>
      <c r="K104" s="82">
        <f t="shared" si="10"/>
        <v>214200</v>
      </c>
      <c r="L104" s="82">
        <f t="shared" si="11"/>
        <v>126140</v>
      </c>
      <c r="M104"/>
    </row>
    <row r="105" spans="1:13" ht="20.25" customHeight="1" x14ac:dyDescent="0.15">
      <c r="A105" s="81">
        <v>104</v>
      </c>
      <c r="B105" s="81" t="s">
        <v>259</v>
      </c>
      <c r="C105" s="81" t="s">
        <v>331</v>
      </c>
      <c r="D105" s="202" t="s">
        <v>246</v>
      </c>
      <c r="E105" s="81" t="s">
        <v>148</v>
      </c>
      <c r="F105" s="81" t="s">
        <v>74</v>
      </c>
      <c r="G105" s="81">
        <f t="shared" si="7"/>
        <v>30</v>
      </c>
      <c r="H105" s="81">
        <f t="shared" si="8"/>
        <v>106</v>
      </c>
      <c r="I105" s="81">
        <f t="shared" si="9"/>
        <v>44</v>
      </c>
      <c r="J105" s="81">
        <f>VLOOKUP(F105,'KOTRA 기준단가'!$I$1:$J$7,2,0)</f>
        <v>1190</v>
      </c>
      <c r="K105" s="82">
        <f t="shared" si="10"/>
        <v>214200</v>
      </c>
      <c r="L105" s="82">
        <f t="shared" si="11"/>
        <v>126140</v>
      </c>
      <c r="M105"/>
    </row>
    <row r="106" spans="1:13" ht="20.25" customHeight="1" x14ac:dyDescent="0.15">
      <c r="A106" s="81">
        <v>105</v>
      </c>
      <c r="B106" s="81" t="s">
        <v>259</v>
      </c>
      <c r="C106" s="81" t="s">
        <v>332</v>
      </c>
      <c r="D106" s="202" t="s">
        <v>246</v>
      </c>
      <c r="E106" s="81" t="s">
        <v>149</v>
      </c>
      <c r="F106" s="81" t="s">
        <v>74</v>
      </c>
      <c r="G106" s="81">
        <f t="shared" si="7"/>
        <v>30</v>
      </c>
      <c r="H106" s="81">
        <f t="shared" si="8"/>
        <v>106</v>
      </c>
      <c r="I106" s="81">
        <f t="shared" si="9"/>
        <v>44</v>
      </c>
      <c r="J106" s="81">
        <f>VLOOKUP(F106,'KOTRA 기준단가'!$I$1:$J$7,2,0)</f>
        <v>1190</v>
      </c>
      <c r="K106" s="82">
        <f t="shared" si="10"/>
        <v>214200</v>
      </c>
      <c r="L106" s="82">
        <f t="shared" si="11"/>
        <v>126140</v>
      </c>
      <c r="M106"/>
    </row>
    <row r="107" spans="1:13" ht="20.25" customHeight="1" x14ac:dyDescent="0.15">
      <c r="A107" s="81">
        <v>106</v>
      </c>
      <c r="B107" s="81" t="s">
        <v>259</v>
      </c>
      <c r="C107" s="81" t="s">
        <v>333</v>
      </c>
      <c r="D107" s="202" t="s">
        <v>246</v>
      </c>
      <c r="E107" s="81" t="s">
        <v>55</v>
      </c>
      <c r="F107" s="81" t="s">
        <v>74</v>
      </c>
      <c r="G107" s="81">
        <f t="shared" si="7"/>
        <v>30</v>
      </c>
      <c r="H107" s="81">
        <f t="shared" si="8"/>
        <v>106</v>
      </c>
      <c r="I107" s="81">
        <f t="shared" si="9"/>
        <v>44</v>
      </c>
      <c r="J107" s="81">
        <f>VLOOKUP(F107,'KOTRA 기준단가'!$I$1:$J$7,2,0)</f>
        <v>1190</v>
      </c>
      <c r="K107" s="82">
        <f t="shared" si="10"/>
        <v>214200</v>
      </c>
      <c r="L107" s="82">
        <f t="shared" si="11"/>
        <v>126140</v>
      </c>
      <c r="M107"/>
    </row>
    <row r="108" spans="1:13" ht="20.25" customHeight="1" x14ac:dyDescent="0.15">
      <c r="A108" s="81">
        <v>107</v>
      </c>
      <c r="B108" s="81" t="s">
        <v>275</v>
      </c>
      <c r="C108" s="81" t="s">
        <v>334</v>
      </c>
      <c r="D108" s="202" t="s">
        <v>246</v>
      </c>
      <c r="E108" s="81" t="s">
        <v>105</v>
      </c>
      <c r="F108" s="81" t="s">
        <v>74</v>
      </c>
      <c r="G108" s="81">
        <f t="shared" si="7"/>
        <v>30</v>
      </c>
      <c r="H108" s="81">
        <f t="shared" si="8"/>
        <v>106</v>
      </c>
      <c r="I108" s="81">
        <f t="shared" si="9"/>
        <v>44</v>
      </c>
      <c r="J108" s="81">
        <f>VLOOKUP(F108,'KOTRA 기준단가'!$I$1:$J$7,2,0)</f>
        <v>1190</v>
      </c>
      <c r="K108" s="82">
        <f t="shared" si="10"/>
        <v>214200</v>
      </c>
      <c r="L108" s="82">
        <f t="shared" si="11"/>
        <v>126140</v>
      </c>
      <c r="M108"/>
    </row>
    <row r="109" spans="1:13" ht="20.25" customHeight="1" x14ac:dyDescent="0.15">
      <c r="A109" s="81">
        <v>108</v>
      </c>
      <c r="B109" s="81" t="s">
        <v>275</v>
      </c>
      <c r="C109" s="81" t="s">
        <v>335</v>
      </c>
      <c r="D109" s="202" t="s">
        <v>246</v>
      </c>
      <c r="E109" s="81" t="s">
        <v>108</v>
      </c>
      <c r="F109" s="81" t="s">
        <v>74</v>
      </c>
      <c r="G109" s="81">
        <f t="shared" si="7"/>
        <v>30</v>
      </c>
      <c r="H109" s="81">
        <f t="shared" si="8"/>
        <v>106</v>
      </c>
      <c r="I109" s="81">
        <f t="shared" si="9"/>
        <v>44</v>
      </c>
      <c r="J109" s="81">
        <f>VLOOKUP(F109,'KOTRA 기준단가'!$I$1:$J$7,2,0)</f>
        <v>1190</v>
      </c>
      <c r="K109" s="82">
        <f t="shared" si="10"/>
        <v>214200</v>
      </c>
      <c r="L109" s="82">
        <f t="shared" si="11"/>
        <v>126140</v>
      </c>
      <c r="M109"/>
    </row>
    <row r="110" spans="1:13" ht="20.25" customHeight="1" x14ac:dyDescent="0.15">
      <c r="A110" s="81">
        <v>109</v>
      </c>
      <c r="B110" s="81" t="s">
        <v>275</v>
      </c>
      <c r="C110" s="81" t="s">
        <v>336</v>
      </c>
      <c r="D110" s="202" t="s">
        <v>246</v>
      </c>
      <c r="E110" s="81" t="s">
        <v>337</v>
      </c>
      <c r="F110" s="81" t="s">
        <v>74</v>
      </c>
      <c r="G110" s="81">
        <f t="shared" si="7"/>
        <v>30</v>
      </c>
      <c r="H110" s="81">
        <f t="shared" si="8"/>
        <v>106</v>
      </c>
      <c r="I110" s="81">
        <f t="shared" si="9"/>
        <v>44</v>
      </c>
      <c r="J110" s="81">
        <f>VLOOKUP(F110,'KOTRA 기준단가'!$I$1:$J$7,2,0)</f>
        <v>1190</v>
      </c>
      <c r="K110" s="82">
        <f t="shared" si="10"/>
        <v>214200</v>
      </c>
      <c r="L110" s="82">
        <f t="shared" si="11"/>
        <v>126140</v>
      </c>
      <c r="M110"/>
    </row>
    <row r="111" spans="1:13" ht="20.25" customHeight="1" x14ac:dyDescent="0.15">
      <c r="A111" s="81">
        <v>110</v>
      </c>
      <c r="B111" s="81" t="s">
        <v>275</v>
      </c>
      <c r="C111" s="81" t="s">
        <v>338</v>
      </c>
      <c r="D111" s="202" t="s">
        <v>246</v>
      </c>
      <c r="E111" s="81" t="s">
        <v>339</v>
      </c>
      <c r="F111" s="81" t="s">
        <v>74</v>
      </c>
      <c r="G111" s="81">
        <f t="shared" si="7"/>
        <v>30</v>
      </c>
      <c r="H111" s="81">
        <f t="shared" si="8"/>
        <v>106</v>
      </c>
      <c r="I111" s="81">
        <f t="shared" si="9"/>
        <v>44</v>
      </c>
      <c r="J111" s="81">
        <f>VLOOKUP(F111,'KOTRA 기준단가'!$I$1:$J$7,2,0)</f>
        <v>1190</v>
      </c>
      <c r="K111" s="82">
        <f t="shared" si="10"/>
        <v>214200</v>
      </c>
      <c r="L111" s="82">
        <f t="shared" si="11"/>
        <v>126140</v>
      </c>
      <c r="M111"/>
    </row>
    <row r="112" spans="1:13" ht="20.25" customHeight="1" x14ac:dyDescent="0.15">
      <c r="A112" s="81">
        <v>111</v>
      </c>
      <c r="B112" s="81" t="s">
        <v>275</v>
      </c>
      <c r="C112" s="81" t="s">
        <v>340</v>
      </c>
      <c r="D112" s="202" t="s">
        <v>246</v>
      </c>
      <c r="E112" s="81" t="s">
        <v>113</v>
      </c>
      <c r="F112" s="81" t="s">
        <v>74</v>
      </c>
      <c r="G112" s="81">
        <f t="shared" si="7"/>
        <v>30</v>
      </c>
      <c r="H112" s="81">
        <f t="shared" si="8"/>
        <v>106</v>
      </c>
      <c r="I112" s="81">
        <f t="shared" si="9"/>
        <v>44</v>
      </c>
      <c r="J112" s="81">
        <f>VLOOKUP(F112,'KOTRA 기준단가'!$I$1:$J$7,2,0)</f>
        <v>1190</v>
      </c>
      <c r="K112" s="82">
        <f t="shared" si="10"/>
        <v>214200</v>
      </c>
      <c r="L112" s="82">
        <f t="shared" si="11"/>
        <v>126140</v>
      </c>
      <c r="M112"/>
    </row>
    <row r="113" spans="1:13" ht="20.25" customHeight="1" x14ac:dyDescent="0.15">
      <c r="A113" s="81">
        <v>112</v>
      </c>
      <c r="B113" s="81" t="s">
        <v>275</v>
      </c>
      <c r="C113" s="81" t="s">
        <v>341</v>
      </c>
      <c r="D113" s="202" t="s">
        <v>246</v>
      </c>
      <c r="E113" s="81" t="s">
        <v>103</v>
      </c>
      <c r="F113" s="81" t="s">
        <v>74</v>
      </c>
      <c r="G113" s="81">
        <f t="shared" si="7"/>
        <v>30</v>
      </c>
      <c r="H113" s="81">
        <f t="shared" si="8"/>
        <v>106</v>
      </c>
      <c r="I113" s="81">
        <f t="shared" si="9"/>
        <v>44</v>
      </c>
      <c r="J113" s="81">
        <f>VLOOKUP(F113,'KOTRA 기준단가'!$I$1:$J$7,2,0)</f>
        <v>1190</v>
      </c>
      <c r="K113" s="82">
        <f t="shared" si="10"/>
        <v>214200</v>
      </c>
      <c r="L113" s="82">
        <f t="shared" si="11"/>
        <v>126140</v>
      </c>
      <c r="M113"/>
    </row>
    <row r="114" spans="1:13" ht="20.25" customHeight="1" x14ac:dyDescent="0.15">
      <c r="A114" s="81">
        <v>113</v>
      </c>
      <c r="B114" s="81" t="s">
        <v>309</v>
      </c>
      <c r="C114" s="81" t="s">
        <v>342</v>
      </c>
      <c r="D114" s="202" t="s">
        <v>246</v>
      </c>
      <c r="E114" s="81" t="s">
        <v>162</v>
      </c>
      <c r="F114" s="81" t="s">
        <v>74</v>
      </c>
      <c r="G114" s="81">
        <f t="shared" si="7"/>
        <v>30</v>
      </c>
      <c r="H114" s="81">
        <f t="shared" si="8"/>
        <v>106</v>
      </c>
      <c r="I114" s="81">
        <f t="shared" si="9"/>
        <v>44</v>
      </c>
      <c r="J114" s="81">
        <f>VLOOKUP(F114,'KOTRA 기준단가'!$I$1:$J$7,2,0)</f>
        <v>1190</v>
      </c>
      <c r="K114" s="82">
        <f t="shared" si="10"/>
        <v>214200</v>
      </c>
      <c r="L114" s="82">
        <f t="shared" si="11"/>
        <v>126140</v>
      </c>
      <c r="M114"/>
    </row>
    <row r="115" spans="1:13" ht="20.25" customHeight="1" x14ac:dyDescent="0.15">
      <c r="A115" s="81">
        <v>114</v>
      </c>
      <c r="B115" s="81" t="s">
        <v>309</v>
      </c>
      <c r="C115" s="81" t="s">
        <v>343</v>
      </c>
      <c r="D115" s="202" t="s">
        <v>246</v>
      </c>
      <c r="E115" s="81" t="s">
        <v>157</v>
      </c>
      <c r="F115" s="81" t="s">
        <v>74</v>
      </c>
      <c r="G115" s="81">
        <f t="shared" si="7"/>
        <v>30</v>
      </c>
      <c r="H115" s="81">
        <f t="shared" si="8"/>
        <v>106</v>
      </c>
      <c r="I115" s="81">
        <f t="shared" si="9"/>
        <v>44</v>
      </c>
      <c r="J115" s="81">
        <f>VLOOKUP(F115,'KOTRA 기준단가'!$I$1:$J$7,2,0)</f>
        <v>1190</v>
      </c>
      <c r="K115" s="82">
        <f t="shared" si="10"/>
        <v>214200</v>
      </c>
      <c r="L115" s="82">
        <f t="shared" si="11"/>
        <v>126140</v>
      </c>
      <c r="M115"/>
    </row>
    <row r="116" spans="1:13" ht="20.25" customHeight="1" x14ac:dyDescent="0.15">
      <c r="A116" s="81">
        <v>115</v>
      </c>
      <c r="B116" s="81" t="s">
        <v>309</v>
      </c>
      <c r="C116" s="81" t="s">
        <v>344</v>
      </c>
      <c r="D116" s="202" t="s">
        <v>246</v>
      </c>
      <c r="E116" s="81" t="s">
        <v>163</v>
      </c>
      <c r="F116" s="81" t="s">
        <v>74</v>
      </c>
      <c r="G116" s="81">
        <f t="shared" si="7"/>
        <v>30</v>
      </c>
      <c r="H116" s="81">
        <f t="shared" si="8"/>
        <v>106</v>
      </c>
      <c r="I116" s="81">
        <f t="shared" si="9"/>
        <v>44</v>
      </c>
      <c r="J116" s="81">
        <f>VLOOKUP(F116,'KOTRA 기준단가'!$I$1:$J$7,2,0)</f>
        <v>1190</v>
      </c>
      <c r="K116" s="82">
        <f t="shared" si="10"/>
        <v>214200</v>
      </c>
      <c r="L116" s="82">
        <f t="shared" si="11"/>
        <v>126140</v>
      </c>
      <c r="M116"/>
    </row>
    <row r="117" spans="1:13" ht="20.25" customHeight="1" x14ac:dyDescent="0.15">
      <c r="A117" s="81">
        <v>116</v>
      </c>
      <c r="B117" s="81" t="s">
        <v>300</v>
      </c>
      <c r="C117" s="81" t="s">
        <v>345</v>
      </c>
      <c r="D117" s="202" t="s">
        <v>246</v>
      </c>
      <c r="E117" s="81" t="s">
        <v>72</v>
      </c>
      <c r="F117" s="81" t="s">
        <v>74</v>
      </c>
      <c r="G117" s="81">
        <f t="shared" si="7"/>
        <v>30</v>
      </c>
      <c r="H117" s="81">
        <f t="shared" si="8"/>
        <v>106</v>
      </c>
      <c r="I117" s="81">
        <f t="shared" si="9"/>
        <v>44</v>
      </c>
      <c r="J117" s="81">
        <f>VLOOKUP(F117,'KOTRA 기준단가'!$I$1:$J$7,2,0)</f>
        <v>1190</v>
      </c>
      <c r="K117" s="82">
        <f t="shared" si="10"/>
        <v>214200</v>
      </c>
      <c r="L117" s="82">
        <f t="shared" si="11"/>
        <v>126140</v>
      </c>
      <c r="M117"/>
    </row>
    <row r="118" spans="1:13" ht="20.25" customHeight="1" x14ac:dyDescent="0.15">
      <c r="A118" s="81">
        <v>117</v>
      </c>
      <c r="B118" s="81" t="s">
        <v>300</v>
      </c>
      <c r="C118" s="81" t="s">
        <v>346</v>
      </c>
      <c r="D118" s="202" t="s">
        <v>246</v>
      </c>
      <c r="E118" s="81" t="s">
        <v>70</v>
      </c>
      <c r="F118" s="81" t="s">
        <v>74</v>
      </c>
      <c r="G118" s="81">
        <f t="shared" si="7"/>
        <v>30</v>
      </c>
      <c r="H118" s="81">
        <f t="shared" si="8"/>
        <v>106</v>
      </c>
      <c r="I118" s="81">
        <f t="shared" si="9"/>
        <v>44</v>
      </c>
      <c r="J118" s="81">
        <f>VLOOKUP(F118,'KOTRA 기준단가'!$I$1:$J$7,2,0)</f>
        <v>1190</v>
      </c>
      <c r="K118" s="82">
        <f t="shared" si="10"/>
        <v>214200</v>
      </c>
      <c r="L118" s="82">
        <f t="shared" si="11"/>
        <v>126140</v>
      </c>
      <c r="M118"/>
    </row>
    <row r="119" spans="1:13" ht="20.25" customHeight="1" x14ac:dyDescent="0.15">
      <c r="A119" s="81">
        <v>118</v>
      </c>
      <c r="B119" s="81" t="s">
        <v>309</v>
      </c>
      <c r="C119" s="81" t="s">
        <v>347</v>
      </c>
      <c r="D119" s="202" t="s">
        <v>246</v>
      </c>
      <c r="E119" s="81" t="s">
        <v>161</v>
      </c>
      <c r="F119" s="81" t="s">
        <v>74</v>
      </c>
      <c r="G119" s="81">
        <f t="shared" si="7"/>
        <v>30</v>
      </c>
      <c r="H119" s="81">
        <f t="shared" si="8"/>
        <v>106</v>
      </c>
      <c r="I119" s="81">
        <f t="shared" si="9"/>
        <v>44</v>
      </c>
      <c r="J119" s="81">
        <f>VLOOKUP(F119,'KOTRA 기준단가'!$I$1:$J$7,2,0)</f>
        <v>1190</v>
      </c>
      <c r="K119" s="82">
        <f t="shared" si="10"/>
        <v>214200</v>
      </c>
      <c r="L119" s="82">
        <f t="shared" si="11"/>
        <v>126140</v>
      </c>
      <c r="M119"/>
    </row>
    <row r="120" spans="1:13" ht="20.25" customHeight="1" x14ac:dyDescent="0.15">
      <c r="A120" s="81">
        <v>119</v>
      </c>
      <c r="B120" s="81" t="s">
        <v>309</v>
      </c>
      <c r="C120" s="81" t="s">
        <v>348</v>
      </c>
      <c r="D120" s="202" t="s">
        <v>246</v>
      </c>
      <c r="E120" s="81" t="s">
        <v>71</v>
      </c>
      <c r="F120" s="81" t="s">
        <v>74</v>
      </c>
      <c r="G120" s="81">
        <f t="shared" si="7"/>
        <v>30</v>
      </c>
      <c r="H120" s="81">
        <f t="shared" si="8"/>
        <v>106</v>
      </c>
      <c r="I120" s="81">
        <f t="shared" si="9"/>
        <v>44</v>
      </c>
      <c r="J120" s="81">
        <f>VLOOKUP(F120,'KOTRA 기준단가'!$I$1:$J$7,2,0)</f>
        <v>1190</v>
      </c>
      <c r="K120" s="82">
        <f t="shared" si="10"/>
        <v>214200</v>
      </c>
      <c r="L120" s="82">
        <f t="shared" si="11"/>
        <v>126140</v>
      </c>
      <c r="M120"/>
    </row>
    <row r="121" spans="1:13" ht="20.25" customHeight="1" x14ac:dyDescent="0.15">
      <c r="A121" s="81">
        <v>120</v>
      </c>
      <c r="B121" s="81" t="s">
        <v>309</v>
      </c>
      <c r="C121" s="81" t="s">
        <v>349</v>
      </c>
      <c r="D121" s="202" t="s">
        <v>246</v>
      </c>
      <c r="E121" s="81" t="s">
        <v>160</v>
      </c>
      <c r="F121" s="81" t="s">
        <v>74</v>
      </c>
      <c r="G121" s="81">
        <f t="shared" si="7"/>
        <v>30</v>
      </c>
      <c r="H121" s="81">
        <f t="shared" si="8"/>
        <v>106</v>
      </c>
      <c r="I121" s="81">
        <f t="shared" si="9"/>
        <v>44</v>
      </c>
      <c r="J121" s="81">
        <f>VLOOKUP(F121,'KOTRA 기준단가'!$I$1:$J$7,2,0)</f>
        <v>1190</v>
      </c>
      <c r="K121" s="82">
        <f t="shared" si="10"/>
        <v>214200</v>
      </c>
      <c r="L121" s="82">
        <f t="shared" si="11"/>
        <v>126140</v>
      </c>
      <c r="M121"/>
    </row>
    <row r="122" spans="1:13" ht="20.25" customHeight="1" x14ac:dyDescent="0.15">
      <c r="A122" s="81">
        <v>121</v>
      </c>
      <c r="B122" s="81" t="s">
        <v>251</v>
      </c>
      <c r="C122" s="81" t="s">
        <v>350</v>
      </c>
      <c r="D122" s="203" t="s">
        <v>247</v>
      </c>
      <c r="E122" s="81" t="s">
        <v>64</v>
      </c>
      <c r="F122" s="81" t="s">
        <v>74</v>
      </c>
      <c r="G122" s="81">
        <f t="shared" si="7"/>
        <v>30</v>
      </c>
      <c r="H122" s="81">
        <f t="shared" si="8"/>
        <v>81</v>
      </c>
      <c r="I122" s="81">
        <f t="shared" si="9"/>
        <v>37</v>
      </c>
      <c r="J122" s="81">
        <f>VLOOKUP(F122,'KOTRA 기준단가'!$I$1:$J$7,2,0)</f>
        <v>1190</v>
      </c>
      <c r="K122" s="82">
        <f t="shared" si="10"/>
        <v>176120</v>
      </c>
      <c r="L122" s="82">
        <f t="shared" si="11"/>
        <v>96390</v>
      </c>
      <c r="M122"/>
    </row>
    <row r="123" spans="1:13" ht="20.25" customHeight="1" x14ac:dyDescent="0.15">
      <c r="A123" s="81">
        <v>122</v>
      </c>
      <c r="B123" s="81" t="s">
        <v>251</v>
      </c>
      <c r="C123" s="81" t="s">
        <v>351</v>
      </c>
      <c r="D123" s="203" t="s">
        <v>247</v>
      </c>
      <c r="E123" s="81" t="s">
        <v>63</v>
      </c>
      <c r="F123" s="81" t="s">
        <v>74</v>
      </c>
      <c r="G123" s="81">
        <f t="shared" si="7"/>
        <v>30</v>
      </c>
      <c r="H123" s="81">
        <f t="shared" si="8"/>
        <v>81</v>
      </c>
      <c r="I123" s="81">
        <f t="shared" si="9"/>
        <v>37</v>
      </c>
      <c r="J123" s="81">
        <f>VLOOKUP(F123,'KOTRA 기준단가'!$I$1:$J$7,2,0)</f>
        <v>1190</v>
      </c>
      <c r="K123" s="82">
        <f t="shared" si="10"/>
        <v>176120</v>
      </c>
      <c r="L123" s="82">
        <f t="shared" si="11"/>
        <v>96390</v>
      </c>
      <c r="M123"/>
    </row>
    <row r="124" spans="1:13" ht="20.25" customHeight="1" x14ac:dyDescent="0.15">
      <c r="A124" s="81">
        <v>123</v>
      </c>
      <c r="B124" s="81" t="s">
        <v>251</v>
      </c>
      <c r="C124" s="81" t="s">
        <v>351</v>
      </c>
      <c r="D124" s="203" t="s">
        <v>247</v>
      </c>
      <c r="E124" s="81" t="s">
        <v>62</v>
      </c>
      <c r="F124" s="81" t="s">
        <v>74</v>
      </c>
      <c r="G124" s="81">
        <f t="shared" si="7"/>
        <v>30</v>
      </c>
      <c r="H124" s="81">
        <f t="shared" si="8"/>
        <v>81</v>
      </c>
      <c r="I124" s="81">
        <f t="shared" si="9"/>
        <v>37</v>
      </c>
      <c r="J124" s="81">
        <f>VLOOKUP(F124,'KOTRA 기준단가'!$I$1:$J$7,2,0)</f>
        <v>1190</v>
      </c>
      <c r="K124" s="82">
        <f t="shared" si="10"/>
        <v>176120</v>
      </c>
      <c r="L124" s="82">
        <f t="shared" si="11"/>
        <v>96390</v>
      </c>
      <c r="M124"/>
    </row>
    <row r="125" spans="1:13" ht="20.25" customHeight="1" x14ac:dyDescent="0.15">
      <c r="A125" s="81">
        <v>124</v>
      </c>
      <c r="B125" s="81" t="s">
        <v>251</v>
      </c>
      <c r="C125" s="81" t="s">
        <v>352</v>
      </c>
      <c r="D125" s="203" t="s">
        <v>247</v>
      </c>
      <c r="E125" s="81" t="s">
        <v>126</v>
      </c>
      <c r="F125" s="81" t="s">
        <v>74</v>
      </c>
      <c r="G125" s="81">
        <f t="shared" si="7"/>
        <v>30</v>
      </c>
      <c r="H125" s="81">
        <f t="shared" si="8"/>
        <v>81</v>
      </c>
      <c r="I125" s="81">
        <f t="shared" si="9"/>
        <v>37</v>
      </c>
      <c r="J125" s="81">
        <f>VLOOKUP(F125,'KOTRA 기준단가'!$I$1:$J$7,2,0)</f>
        <v>1190</v>
      </c>
      <c r="K125" s="82">
        <f t="shared" si="10"/>
        <v>176120</v>
      </c>
      <c r="L125" s="82">
        <f t="shared" si="11"/>
        <v>96390</v>
      </c>
      <c r="M125"/>
    </row>
    <row r="126" spans="1:13" ht="20.25" customHeight="1" x14ac:dyDescent="0.15">
      <c r="A126" s="81">
        <v>125</v>
      </c>
      <c r="B126" s="81" t="s">
        <v>251</v>
      </c>
      <c r="C126" s="81" t="s">
        <v>353</v>
      </c>
      <c r="D126" s="203" t="s">
        <v>247</v>
      </c>
      <c r="E126" s="81" t="s">
        <v>354</v>
      </c>
      <c r="F126" s="81" t="s">
        <v>74</v>
      </c>
      <c r="G126" s="81">
        <f t="shared" si="7"/>
        <v>30</v>
      </c>
      <c r="H126" s="81">
        <f t="shared" si="8"/>
        <v>81</v>
      </c>
      <c r="I126" s="81">
        <f t="shared" si="9"/>
        <v>37</v>
      </c>
      <c r="J126" s="81">
        <f>VLOOKUP(F126,'KOTRA 기준단가'!$I$1:$J$7,2,0)</f>
        <v>1190</v>
      </c>
      <c r="K126" s="82">
        <f t="shared" si="10"/>
        <v>176120</v>
      </c>
      <c r="L126" s="82">
        <f t="shared" si="11"/>
        <v>96390</v>
      </c>
      <c r="M126"/>
    </row>
    <row r="127" spans="1:13" ht="20.25" customHeight="1" x14ac:dyDescent="0.15">
      <c r="A127" s="81">
        <v>126</v>
      </c>
      <c r="B127" s="81" t="s">
        <v>259</v>
      </c>
      <c r="C127" s="81" t="s">
        <v>355</v>
      </c>
      <c r="D127" s="203" t="s">
        <v>247</v>
      </c>
      <c r="E127" s="81" t="s">
        <v>143</v>
      </c>
      <c r="F127" s="81" t="s">
        <v>74</v>
      </c>
      <c r="G127" s="81">
        <f t="shared" si="7"/>
        <v>30</v>
      </c>
      <c r="H127" s="81">
        <f t="shared" si="8"/>
        <v>81</v>
      </c>
      <c r="I127" s="81">
        <f t="shared" si="9"/>
        <v>37</v>
      </c>
      <c r="J127" s="81">
        <f>VLOOKUP(F127,'KOTRA 기준단가'!$I$1:$J$7,2,0)</f>
        <v>1190</v>
      </c>
      <c r="K127" s="82">
        <f t="shared" si="10"/>
        <v>176120</v>
      </c>
      <c r="L127" s="82">
        <f t="shared" si="11"/>
        <v>96390</v>
      </c>
      <c r="M127"/>
    </row>
    <row r="128" spans="1:13" ht="20.25" customHeight="1" x14ac:dyDescent="0.15">
      <c r="A128" s="81">
        <v>127</v>
      </c>
      <c r="B128" s="81" t="s">
        <v>259</v>
      </c>
      <c r="C128" s="81" t="s">
        <v>356</v>
      </c>
      <c r="D128" s="203" t="s">
        <v>247</v>
      </c>
      <c r="E128" s="81" t="s">
        <v>144</v>
      </c>
      <c r="F128" s="81" t="s">
        <v>74</v>
      </c>
      <c r="G128" s="81">
        <f t="shared" si="7"/>
        <v>30</v>
      </c>
      <c r="H128" s="81">
        <f t="shared" si="8"/>
        <v>81</v>
      </c>
      <c r="I128" s="81">
        <f t="shared" si="9"/>
        <v>37</v>
      </c>
      <c r="J128" s="81">
        <f>VLOOKUP(F128,'KOTRA 기준단가'!$I$1:$J$7,2,0)</f>
        <v>1190</v>
      </c>
      <c r="K128" s="82">
        <f t="shared" si="10"/>
        <v>176120</v>
      </c>
      <c r="L128" s="82">
        <f t="shared" si="11"/>
        <v>96390</v>
      </c>
      <c r="M128"/>
    </row>
    <row r="129" spans="1:13" ht="20.25" customHeight="1" x14ac:dyDescent="0.15">
      <c r="A129" s="81">
        <v>128</v>
      </c>
      <c r="B129" s="81" t="s">
        <v>275</v>
      </c>
      <c r="C129" s="81" t="s">
        <v>357</v>
      </c>
      <c r="D129" s="203" t="s">
        <v>247</v>
      </c>
      <c r="E129" s="81" t="s">
        <v>111</v>
      </c>
      <c r="F129" s="81" t="s">
        <v>74</v>
      </c>
      <c r="G129" s="81">
        <f t="shared" si="7"/>
        <v>30</v>
      </c>
      <c r="H129" s="81">
        <f t="shared" si="8"/>
        <v>81</v>
      </c>
      <c r="I129" s="81">
        <f t="shared" si="9"/>
        <v>37</v>
      </c>
      <c r="J129" s="81">
        <f>VLOOKUP(F129,'KOTRA 기준단가'!$I$1:$J$7,2,0)</f>
        <v>1190</v>
      </c>
      <c r="K129" s="82">
        <f t="shared" si="10"/>
        <v>176120</v>
      </c>
      <c r="L129" s="82">
        <f t="shared" si="11"/>
        <v>96390</v>
      </c>
      <c r="M129"/>
    </row>
    <row r="130" spans="1:13" ht="20.25" customHeight="1" x14ac:dyDescent="0.15">
      <c r="A130" s="81">
        <v>129</v>
      </c>
      <c r="B130" s="81" t="s">
        <v>300</v>
      </c>
      <c r="C130" s="81" t="s">
        <v>358</v>
      </c>
      <c r="D130" s="203" t="s">
        <v>247</v>
      </c>
      <c r="E130" s="81" t="s">
        <v>69</v>
      </c>
      <c r="F130" s="81" t="s">
        <v>74</v>
      </c>
      <c r="G130" s="81">
        <f t="shared" ref="G130" si="12">VLOOKUP($D130,$O$2:$R$5,2,0)</f>
        <v>30</v>
      </c>
      <c r="H130" s="81">
        <f t="shared" ref="H130" si="13">VLOOKUP($D130,$O$2:$R$5,3,0)</f>
        <v>81</v>
      </c>
      <c r="I130" s="81">
        <f t="shared" ref="I130" si="14">VLOOKUP($D130,$O$2:$R$5,4,0)</f>
        <v>37</v>
      </c>
      <c r="J130" s="81">
        <f>VLOOKUP(F130,'KOTRA 기준단가'!$I$1:$J$7,2,0)</f>
        <v>1190</v>
      </c>
      <c r="K130" s="82">
        <f t="shared" si="10"/>
        <v>176120</v>
      </c>
      <c r="L130" s="82">
        <f t="shared" si="11"/>
        <v>96390</v>
      </c>
      <c r="M130"/>
    </row>
    <row r="131" spans="1:13" ht="20.25" customHeight="1" x14ac:dyDescent="0.15">
      <c r="A131"/>
      <c r="B131"/>
      <c r="C131"/>
      <c r="M131"/>
    </row>
    <row r="132" spans="1:13" ht="20.25" customHeight="1" x14ac:dyDescent="0.15">
      <c r="A132"/>
      <c r="B132"/>
      <c r="C132"/>
      <c r="M132"/>
    </row>
    <row r="133" spans="1:13" ht="20.25" customHeight="1" x14ac:dyDescent="0.15">
      <c r="A133"/>
      <c r="B133"/>
      <c r="C133"/>
      <c r="M133"/>
    </row>
    <row r="134" spans="1:13" ht="20.25" customHeight="1" x14ac:dyDescent="0.15">
      <c r="A134"/>
      <c r="B134"/>
      <c r="C134"/>
      <c r="M134"/>
    </row>
    <row r="135" spans="1:13" ht="20.25" customHeight="1" x14ac:dyDescent="0.15">
      <c r="A135"/>
      <c r="B135"/>
      <c r="C135"/>
      <c r="M135"/>
    </row>
    <row r="136" spans="1:13" ht="20.25" customHeight="1" x14ac:dyDescent="0.15">
      <c r="A136"/>
      <c r="B136"/>
      <c r="C136"/>
      <c r="M136"/>
    </row>
    <row r="137" spans="1:13" ht="20.25" customHeight="1" x14ac:dyDescent="0.15">
      <c r="A137"/>
      <c r="B137"/>
      <c r="C137"/>
      <c r="M137"/>
    </row>
    <row r="138" spans="1:13" ht="20.25" customHeight="1" x14ac:dyDescent="0.15">
      <c r="A138"/>
      <c r="B138"/>
      <c r="C138"/>
      <c r="M138"/>
    </row>
    <row r="139" spans="1:13" ht="20.25" customHeight="1" x14ac:dyDescent="0.15">
      <c r="A139"/>
      <c r="B139"/>
      <c r="C139"/>
      <c r="M139"/>
    </row>
    <row r="140" spans="1:13" ht="20.25" customHeight="1" x14ac:dyDescent="0.15">
      <c r="A140"/>
      <c r="B140"/>
      <c r="C140"/>
      <c r="M140"/>
    </row>
    <row r="141" spans="1:13" ht="20.25" customHeight="1" x14ac:dyDescent="0.15">
      <c r="A141"/>
      <c r="B141"/>
      <c r="C141"/>
      <c r="M141"/>
    </row>
    <row r="142" spans="1:13" ht="20.25" customHeight="1" x14ac:dyDescent="0.15">
      <c r="A142"/>
      <c r="B142"/>
      <c r="C142"/>
      <c r="M142"/>
    </row>
    <row r="143" spans="1:13" ht="20.25" customHeight="1" x14ac:dyDescent="0.15">
      <c r="A143"/>
      <c r="B143"/>
      <c r="C143"/>
      <c r="M143"/>
    </row>
  </sheetData>
  <phoneticPr fontId="2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예산세부내역</vt:lpstr>
      <vt:lpstr>KOTRA 기준단가</vt:lpstr>
      <vt:lpstr>국외여비기준</vt:lpstr>
      <vt:lpstr>예산세부내역!Print_Area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duke</dc:creator>
  <cp:lastModifiedBy>KBIZ</cp:lastModifiedBy>
  <cp:lastPrinted>2015-12-14T05:24:47Z</cp:lastPrinted>
  <dcterms:created xsi:type="dcterms:W3CDTF">2009-10-28T02:19:41Z</dcterms:created>
  <dcterms:modified xsi:type="dcterms:W3CDTF">2022-04-19T08:56:39Z</dcterms:modified>
</cp:coreProperties>
</file>